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media/image1.png" ContentType="image/png"/>
  <Override PartName="/xl/media/image2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T_2026_00022" sheetId="1" state="visible" r:id="rId2"/>
    <sheet name="NOMINATIVI" sheetId="2" state="visible" r:id="rId3"/>
  </sheets>
  <definedNames>
    <definedName function="false" hidden="false" localSheetId="0" name="_xlnm.Print_Area" vbProcedure="false">STT_2026_00022!$A$1:$Y$170</definedName>
    <definedName function="false" hidden="false" localSheetId="0" name="_xlnm.Extract" vbProcedure="false">STT_2026_00022!$C$103:$C$118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F9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i val="true"/>
            <sz val="9"/>
            <color rgb="FF000000"/>
            <rFont val="Tahoma"/>
            <family val="2"/>
            <charset val="1"/>
          </rPr>
          <t xml:space="preserve">Possibile RP AFFIDAMENTO</t>
        </r>
      </text>
    </comment>
    <comment ref="F10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i val="true"/>
            <sz val="9"/>
            <color rgb="FF000000"/>
            <rFont val="Tahoma"/>
            <family val="2"/>
            <charset val="1"/>
          </rPr>
          <t xml:space="preserve">Possibile RP ESECUZIONE</t>
        </r>
      </text>
    </comment>
    <comment ref="F15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 xml:space="preserve">Coincidenza con RUP</t>
        </r>
      </text>
    </comment>
    <comment ref="F16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 xml:space="preserve">Coincidenza con RUP</t>
        </r>
      </text>
    </comment>
    <comment ref="F21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 xml:space="preserve">Coincidenza con RUP
</t>
        </r>
      </text>
    </comment>
    <comment ref="F23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i val="true"/>
            <sz val="9"/>
            <color rgb="FF000000"/>
            <rFont val="Tahoma"/>
            <family val="2"/>
            <charset val="1"/>
          </rPr>
          <t xml:space="preserve">POSSIBILE Direttori Operativi</t>
        </r>
      </text>
    </comment>
    <comment ref="F24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i val="true"/>
            <sz val="9"/>
            <color rgb="FF000000"/>
            <rFont val="Tahoma"/>
            <family val="2"/>
            <charset val="1"/>
          </rPr>
          <t xml:space="preserve">POSSIBILE COLLAUDO</t>
        </r>
      </text>
    </comment>
    <comment ref="H9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 xml:space="preserve">Valorizzare se RP AFFIDAMENTO</t>
        </r>
      </text>
    </comment>
    <comment ref="H10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 xml:space="preserve">Valorizzare se RP ESECUZIONE</t>
        </r>
      </text>
    </comment>
    <comment ref="H16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 xml:space="preserve">Inserire solo NOMINATIVI</t>
        </r>
      </text>
    </comment>
    <comment ref="H21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 xml:space="preserve">Keep the Value</t>
        </r>
      </text>
    </comment>
    <comment ref="H23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 xml:space="preserve">Valorizzare se CSE</t>
        </r>
      </text>
    </comment>
    <comment ref="H24" author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 xml:space="preserve">Valorizzare se COLLAUDO</t>
        </r>
      </text>
    </comment>
  </commentList>
</comments>
</file>

<file path=xl/sharedStrings.xml><?xml version="1.0" encoding="utf-8"?>
<sst xmlns="http://schemas.openxmlformats.org/spreadsheetml/2006/main" count="300" uniqueCount="147">
  <si>
    <t xml:space="preserve">APPALTO</t>
  </si>
  <si>
    <t xml:space="preserve">MANUTENZIONE ORDINARIA SEGNALETICA VERTICALE E ORIZZONTALE 2026_2027</t>
  </si>
  <si>
    <t xml:space="preserve">CUP</t>
  </si>
  <si>
    <t xml:space="preserve">---</t>
  </si>
  <si>
    <t xml:space="preserve">CIG</t>
  </si>
  <si>
    <t xml:space="preserve">BCCBDF0B1F</t>
  </si>
  <si>
    <t xml:space="preserve">Importo</t>
  </si>
  <si>
    <t xml:space="preserve">RUOLI</t>
  </si>
  <si>
    <t xml:space="preserve">INCARICATO</t>
  </si>
  <si>
    <t xml:space="preserve">QUOTA</t>
  </si>
  <si>
    <t xml:space="preserve">IMPORTO Lordo</t>
  </si>
  <si>
    <t xml:space="preserve">CHECK VALUE </t>
  </si>
  <si>
    <t xml:space="preserve">Controllo TEMPISTICHE</t>
  </si>
  <si>
    <t xml:space="preserve">Aliquota</t>
  </si>
  <si>
    <t xml:space="preserve">RUP</t>
  </si>
  <si>
    <t xml:space="preserve">LEONE Luca</t>
  </si>
  <si>
    <t xml:space="preserve">Fase</t>
  </si>
  <si>
    <t xml:space="preserve">Avvio</t>
  </si>
  <si>
    <t xml:space="preserve">Termine</t>
  </si>
  <si>
    <t xml:space="preserve">Check</t>
  </si>
  <si>
    <t xml:space="preserve">Varizione</t>
  </si>
  <si>
    <t xml:space="preserve">Note</t>
  </si>
  <si>
    <t xml:space="preserve">Riduzione </t>
  </si>
  <si>
    <t xml:space="preserve">programmazione</t>
  </si>
  <si>
    <t xml:space="preserve">INCENTIVO art. 45</t>
  </si>
  <si>
    <t xml:space="preserve">TROIANI Claudia</t>
  </si>
  <si>
    <t xml:space="preserve">progetto</t>
  </si>
  <si>
    <t xml:space="preserve">////</t>
  </si>
  <si>
    <t xml:space="preserve">di cui Quota 20% - INCREMENTATA in funzione degli art. 4 &amp; 5 del regolamento</t>
  </si>
  <si>
    <t xml:space="preserve">PSI</t>
  </si>
  <si>
    <t xml:space="preserve">n/a</t>
  </si>
  <si>
    <t xml:space="preserve">verifica</t>
  </si>
  <si>
    <t xml:space="preserve">(**)</t>
  </si>
  <si>
    <t xml:space="preserve">PG</t>
  </si>
  <si>
    <t xml:space="preserve">gara</t>
  </si>
  <si>
    <t xml:space="preserve">di cui Quota 80% - erogabile</t>
  </si>
  <si>
    <t xml:space="preserve">-</t>
  </si>
  <si>
    <t xml:space="preserve">servizio</t>
  </si>
  <si>
    <t xml:space="preserve">IRAP a carico dell'ente secondo delibera  N. 103/2026/PAR  sezione regionale Lombardia della Corte dei Conti</t>
  </si>
  <si>
    <t xml:space="preserve">Totale Giorni</t>
  </si>
  <si>
    <t xml:space="preserve">VPCPA</t>
  </si>
  <si>
    <r>
      <rPr>
        <sz val="11"/>
        <color rgb="FF000000"/>
        <rFont val="Calibri"/>
        <family val="2"/>
        <charset val="1"/>
      </rPr>
      <t xml:space="preserve">VPCPA o </t>
    </r>
    <r>
      <rPr>
        <i val="true"/>
        <u val="single"/>
        <sz val="11"/>
        <rFont val="Calibri"/>
        <family val="2"/>
        <charset val="1"/>
      </rPr>
      <t xml:space="preserve"> (CUC)</t>
    </r>
  </si>
  <si>
    <t xml:space="preserve">CONSIP</t>
  </si>
  <si>
    <t xml:space="preserve">NO</t>
  </si>
  <si>
    <t xml:space="preserve">Controllo COSTI</t>
  </si>
  <si>
    <t xml:space="preserve">Previsionale</t>
  </si>
  <si>
    <t xml:space="preserve">Consuntivo</t>
  </si>
  <si>
    <t xml:space="preserve">Var %</t>
  </si>
  <si>
    <r>
      <rPr>
        <sz val="11"/>
        <color rgb="FF000000"/>
        <rFont val="Calibri"/>
        <family val="2"/>
        <charset val="1"/>
      </rPr>
      <t xml:space="preserve"> La presente rendicontazione redatta come scheda ai sensi dell'</t>
    </r>
    <r>
      <rPr>
        <b val="true"/>
        <i val="true"/>
        <sz val="11"/>
        <color rgb="FF000000"/>
        <rFont val="Calibri"/>
        <family val="2"/>
        <charset val="1"/>
      </rPr>
      <t xml:space="preserve">art.7 del regolamento</t>
    </r>
    <r>
      <rPr>
        <sz val="11"/>
        <color rgb="FF000000"/>
        <rFont val="Calibri"/>
        <family val="2"/>
        <charset val="1"/>
      </rPr>
      <t xml:space="preserve"> e successivamente trasmessa all</t>
    </r>
    <r>
      <rPr>
        <i val="true"/>
        <u val="single"/>
        <sz val="11"/>
        <color rgb="FF000000"/>
        <rFont val="Calibri"/>
        <family val="2"/>
        <charset val="1"/>
      </rPr>
      <t xml:space="preserve">'O.I.V </t>
    </r>
    <r>
      <rPr>
        <i val="true"/>
        <u val="single"/>
        <sz val="8"/>
        <color rgb="FF000000"/>
        <rFont val="Calibri"/>
        <family val="2"/>
        <charset val="1"/>
      </rPr>
      <t xml:space="preserve">&amp;</t>
    </r>
    <r>
      <rPr>
        <i val="true"/>
        <u val="single"/>
        <sz val="11"/>
        <color rgb="FF000000"/>
        <rFont val="Calibri"/>
        <family val="2"/>
        <charset val="1"/>
      </rPr>
      <t xml:space="preserve"> R.S.U</t>
    </r>
    <r>
      <rPr>
        <sz val="11"/>
        <color rgb="FF000000"/>
        <rFont val="Calibri"/>
        <family val="2"/>
        <charset val="1"/>
      </rPr>
      <t xml:space="preserve"> dal servizio Personale con cadenza Annuale  per costituire documentazione utile alla valutazione del Dirigente Interessato 													
													</t>
    </r>
  </si>
  <si>
    <t xml:space="preserve">(**) ripartizione rimodulata ai sensi dell'art. 2 c.7 del Regolamento</t>
  </si>
  <si>
    <t xml:space="preserve">DEC</t>
  </si>
  <si>
    <t xml:space="preserve">LOIACONO Graziana</t>
  </si>
  <si>
    <t xml:space="preserve">Motivazioni</t>
  </si>
  <si>
    <t xml:space="preserve">(***) quota determinata nel rispetto delle riduzioni ed abbattimenti dell'art. 4 e 9 del Regolamento </t>
  </si>
  <si>
    <t xml:space="preserve">(*) l'eventuale individuazione della risorsa è rimessa alla fase specifica con attribuzione dell'aliquota di competenza, valutata in funzione della complessità, strategicità e valore dell'intervento quale quota-parte dell'aliquota complessiva prevista per l'attività.</t>
  </si>
  <si>
    <t xml:space="preserve">CS</t>
  </si>
  <si>
    <t xml:space="preserve">(***)</t>
  </si>
  <si>
    <t xml:space="preserve">Fase di PROGRAMMAZIONE</t>
  </si>
  <si>
    <t xml:space="preserve">Incaricato</t>
  </si>
  <si>
    <t xml:space="preserve">Quota FASE</t>
  </si>
  <si>
    <t xml:space="preserve">Inps/cpdel</t>
  </si>
  <si>
    <t xml:space="preserve">Irap</t>
  </si>
  <si>
    <t xml:space="preserve">Inail</t>
  </si>
  <si>
    <t xml:space="preserve">LIQUIDABILE</t>
  </si>
  <si>
    <t xml:space="preserve">CUC</t>
  </si>
  <si>
    <t xml:space="preserve">_RP AFFIDAMENTO</t>
  </si>
  <si>
    <t xml:space="preserve">_RP ESECUZIONE</t>
  </si>
  <si>
    <t xml:space="preserve">VPCPAcuc</t>
  </si>
  <si>
    <t xml:space="preserve">_DIRETTORE OPEARTIVI</t>
  </si>
  <si>
    <t xml:space="preserve">_VERIFICA CONF. (*)</t>
  </si>
  <si>
    <t xml:space="preserve">AFFIDAMENTO</t>
  </si>
  <si>
    <t xml:space="preserve">Fine INTERVENTO</t>
  </si>
  <si>
    <t xml:space="preserve">PROGRAMMAZIONE</t>
  </si>
  <si>
    <t xml:space="preserve">Fine INTERVENTO </t>
  </si>
  <si>
    <t xml:space="preserve">TOTALE</t>
  </si>
  <si>
    <t xml:space="preserve">IRAP a carico dell'ente</t>
  </si>
  <si>
    <t xml:space="preserve">(firmato digitalmente)</t>
  </si>
  <si>
    <t xml:space="preserve">IL RUP</t>
  </si>
  <si>
    <t xml:space="preserve">IL DIRIGENTE</t>
  </si>
  <si>
    <t xml:space="preserve">TOTALE </t>
  </si>
  <si>
    <t xml:space="preserve">OPERA</t>
  </si>
  <si>
    <t xml:space="preserve">IMPORTO DA LIQUIDARE</t>
  </si>
  <si>
    <t xml:space="preserve">Quota 20% - acc.</t>
  </si>
  <si>
    <t xml:space="preserve">Quota 80% - erogabile</t>
  </si>
  <si>
    <t xml:space="preserve">_Di cui Fase PROGAMMAZIONE &amp; AFFIDAMENTO </t>
  </si>
  <si>
    <t xml:space="preserve">PROSPETTO DI DETTAGLIO PER L'EROGAZIONE DEI CORRISPETTIVI A CURA DEL SERVIZIO GESTIONE RISORSE UMANE</t>
  </si>
  <si>
    <t xml:space="preserve">_Di cui Fase FINE INTERVENTO</t>
  </si>
  <si>
    <t xml:space="preserve">STT_2026_00022</t>
  </si>
  <si>
    <t xml:space="preserve">SI</t>
  </si>
  <si>
    <t xml:space="preserve">BIGAGNOLI Chiara</t>
  </si>
  <si>
    <t xml:space="preserve">BRESSAN Angela</t>
  </si>
  <si>
    <t xml:space="preserve">GIUSTINO Andrea</t>
  </si>
  <si>
    <t xml:space="preserve">CAPPELLINO Girolamo</t>
  </si>
  <si>
    <t xml:space="preserve">AVANZO Pasquale</t>
  </si>
  <si>
    <t xml:space="preserve">COMPETENZE</t>
  </si>
  <si>
    <t xml:space="preserve">ALIQUOTA INC.</t>
  </si>
  <si>
    <t xml:space="preserve">CARMINATI Alessandro</t>
  </si>
  <si>
    <t xml:space="preserve">_RP AFFIDAMENTO (*)</t>
  </si>
  <si>
    <t xml:space="preserve">CASOLATI Alberto</t>
  </si>
  <si>
    <t xml:space="preserve">CAVENAGHI Ivan</t>
  </si>
  <si>
    <t xml:space="preserve">_RP ESECUZIONE (*)</t>
  </si>
  <si>
    <t xml:space="preserve">COLOMBO Francesca</t>
  </si>
  <si>
    <t xml:space="preserve">_CSP (*)</t>
  </si>
  <si>
    <t xml:space="preserve">CONSOLATI Francesco</t>
  </si>
  <si>
    <t xml:space="preserve">_CSE (*)</t>
  </si>
  <si>
    <t xml:space="preserve">IELASI Paola</t>
  </si>
  <si>
    <t xml:space="preserve">Riduzioni Applicate</t>
  </si>
  <si>
    <t xml:space="preserve">TEDDE Giovanna</t>
  </si>
  <si>
    <t xml:space="preserve">FRONZUTI Riccardo</t>
  </si>
  <si>
    <t xml:space="preserve">GARLASCHI Annalisa</t>
  </si>
  <si>
    <t xml:space="preserve">GUALANDI Angelo</t>
  </si>
  <si>
    <t xml:space="preserve">LAURETTI Francesca</t>
  </si>
  <si>
    <t xml:space="preserve">LOMBARDO Dario</t>
  </si>
  <si>
    <t xml:space="preserve">LOVAGLIO Lorenzo</t>
  </si>
  <si>
    <t xml:space="preserve">LUCARELLI Francesca</t>
  </si>
  <si>
    <t xml:space="preserve">MARTIGNAGO Tatiana</t>
  </si>
  <si>
    <t xml:space="preserve">MASI Gianluca</t>
  </si>
  <si>
    <t xml:space="preserve">MELILLO Fabio</t>
  </si>
  <si>
    <t xml:space="preserve">MONICO Stefano</t>
  </si>
  <si>
    <t xml:space="preserve">MURGOLO Ezio</t>
  </si>
  <si>
    <t xml:space="preserve">ORLANDI Barbara</t>
  </si>
  <si>
    <t xml:space="preserve">SALCICCIA  Lorenzo</t>
  </si>
  <si>
    <t xml:space="preserve">SCHILLACI Fabrizio</t>
  </si>
  <si>
    <t xml:space="preserve">√</t>
  </si>
  <si>
    <t xml:space="preserve">SENTIERO Monica</t>
  </si>
  <si>
    <t xml:space="preserve">!</t>
  </si>
  <si>
    <t xml:space="preserve">SPINELLI Valentina</t>
  </si>
  <si>
    <t xml:space="preserve">TOLOMEI Rossella</t>
  </si>
  <si>
    <t xml:space="preserve">TOSI Pierangelo</t>
  </si>
  <si>
    <t xml:space="preserve">TURRINI Mauro</t>
  </si>
  <si>
    <t xml:space="preserve">Polizia Locale</t>
  </si>
  <si>
    <t xml:space="preserve">Aliquote per Totale</t>
  </si>
  <si>
    <t xml:space="preserve">INAIL</t>
  </si>
  <si>
    <t xml:space="preserve">ZUCCHI Carmen</t>
  </si>
  <si>
    <t xml:space="preserve">BRANCA Marta</t>
  </si>
  <si>
    <t xml:space="preserve">ESTERNO</t>
  </si>
  <si>
    <t xml:space="preserve">tot</t>
  </si>
  <si>
    <t xml:space="preserve">Determina liquidazione (programm./affidamento) </t>
  </si>
  <si>
    <t xml:space="preserve">Consegna documentazione</t>
  </si>
  <si>
    <t xml:space="preserve">Mese liquidazione effettiva</t>
  </si>
  <si>
    <t xml:space="preserve">Determina liquidazione (fine intervento)</t>
  </si>
  <si>
    <t xml:space="preserve">SCHEDA FIRMATA IN CARTELLA</t>
  </si>
  <si>
    <t xml:space="preserve">DETERMINA DI LIQUIDAZIONE 1° FASE FATTA</t>
  </si>
  <si>
    <t xml:space="preserve">LIQUIDATA 1° FASE</t>
  </si>
  <si>
    <t xml:space="preserve">DETERMINA DI LIQUIDAZIONE 2° FASE FATTA</t>
  </si>
  <si>
    <t xml:space="preserve">LIQUIDATA 2° FASE</t>
  </si>
  <si>
    <t xml:space="preserve">percorso dove trovare le schede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</si>
</sst>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[$€-410]#,##0.00\ ;[$€-410]\(#,##0.00\);[$€-410]\-00\ ;@\ "/>
    <numFmt numFmtId="166" formatCode="0%"/>
    <numFmt numFmtId="167" formatCode="0.00%"/>
    <numFmt numFmtId="168" formatCode="#,##0.00\ ;&quot; (&quot;#,##0.00\);\-00\ ;@\ "/>
    <numFmt numFmtId="169" formatCode="* #,##0.00&quot; € &quot;;\-* #,##0.00&quot; € &quot;;* \-#&quot; € &quot;;@\ "/>
    <numFmt numFmtId="170" formatCode="#,##0.00\ ;\-#,##0.00\ ;\-00\ ;@\ "/>
    <numFmt numFmtId="171" formatCode="General"/>
    <numFmt numFmtId="172" formatCode="dd/mm/yyyy"/>
    <numFmt numFmtId="173" formatCode="* #,##0.00\ [$€-410]\ ;\-* #,##0.00\ [$€-410]\ ;* \-#\ [$€-410]\ ;@\ "/>
    <numFmt numFmtId="174" formatCode="0.0%"/>
    <numFmt numFmtId="175" formatCode="0.00"/>
  </numFmts>
  <fonts count="4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MS Sans Serif1"/>
      <family val="0"/>
      <charset val="1"/>
    </font>
    <font>
      <b val="true"/>
      <sz val="11"/>
      <color rgb="FF000000"/>
      <name val="MS Sans Serif1"/>
      <family val="0"/>
      <charset val="1"/>
    </font>
    <font>
      <sz val="11"/>
      <color rgb="FFCC0000"/>
      <name val="MS Sans Serif1"/>
      <family val="0"/>
      <charset val="1"/>
    </font>
    <font>
      <sz val="10"/>
      <color rgb="FF000000"/>
      <name val="Arial"/>
      <family val="2"/>
      <charset val="1"/>
    </font>
    <font>
      <i val="true"/>
      <sz val="11"/>
      <color rgb="FF808080"/>
      <name val="MS Sans Serif1"/>
      <family val="0"/>
      <charset val="1"/>
    </font>
    <font>
      <sz val="11"/>
      <color rgb="FF006600"/>
      <name val="MS Sans Serif1"/>
      <family val="0"/>
      <charset val="1"/>
    </font>
    <font>
      <b val="true"/>
      <sz val="18"/>
      <color rgb="FF000000"/>
      <name val="MS Sans Serif1"/>
      <family val="0"/>
      <charset val="1"/>
    </font>
    <font>
      <b val="true"/>
      <sz val="24"/>
      <color rgb="FF000000"/>
      <name val="MS Sans Serif1"/>
      <family val="0"/>
      <charset val="1"/>
    </font>
    <font>
      <b val="true"/>
      <sz val="12"/>
      <color rgb="FF000000"/>
      <name val="MS Sans Serif1"/>
      <family val="0"/>
      <charset val="1"/>
    </font>
    <font>
      <u val="single"/>
      <sz val="11"/>
      <color rgb="FF0000EE"/>
      <name val="MS Sans Serif1"/>
      <family val="0"/>
      <charset val="1"/>
    </font>
    <font>
      <sz val="11"/>
      <color rgb="FF996600"/>
      <name val="MS Sans Serif1"/>
      <family val="0"/>
      <charset val="1"/>
    </font>
    <font>
      <sz val="11"/>
      <color rgb="FF000000"/>
      <name val="MS Sans Serif1"/>
      <family val="0"/>
      <charset val="1"/>
    </font>
    <font>
      <sz val="11"/>
      <color rgb="FF333333"/>
      <name val="MS Sans Serif1"/>
      <family val="0"/>
      <charset val="1"/>
    </font>
    <font>
      <b val="true"/>
      <i val="true"/>
      <u val="single"/>
      <sz val="11"/>
      <color rgb="FF000000"/>
      <name val="MS Sans Serif1"/>
      <family val="0"/>
      <charset val="1"/>
    </font>
    <font>
      <b val="true"/>
      <sz val="11"/>
      <color rgb="FF000000"/>
      <name val="MS Sans Serif"/>
      <family val="0"/>
      <charset val="1"/>
    </font>
    <font>
      <i val="true"/>
      <sz val="10"/>
      <color rgb="FF000000"/>
      <name val="Calibri"/>
      <family val="2"/>
      <charset val="1"/>
    </font>
    <font>
      <b val="true"/>
      <i val="true"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C00000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i val="true"/>
      <u val="single"/>
      <sz val="11"/>
      <name val="Calibri"/>
      <family val="2"/>
      <charset val="1"/>
    </font>
    <font>
      <i val="true"/>
      <u val="single"/>
      <sz val="11"/>
      <color rgb="FF000000"/>
      <name val="Calibri"/>
      <family val="2"/>
      <charset val="1"/>
    </font>
    <font>
      <i val="true"/>
      <u val="single"/>
      <sz val="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i val="true"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 val="true"/>
      <i val="true"/>
      <sz val="9"/>
      <color rgb="FFC00000"/>
      <name val="Calibri"/>
      <family val="2"/>
      <charset val="1"/>
    </font>
    <font>
      <b val="true"/>
      <i val="true"/>
      <sz val="11"/>
      <color rgb="FFC00000"/>
      <name val="Calibri"/>
      <family val="2"/>
      <charset val="1"/>
    </font>
    <font>
      <b val="true"/>
      <sz val="11"/>
      <color rgb="FF00B050"/>
      <name val="Agency FB"/>
      <family val="2"/>
      <charset val="1"/>
    </font>
    <font>
      <sz val="11"/>
      <color rgb="FFFF0000"/>
      <name val="Agency FB"/>
      <family val="2"/>
      <charset val="1"/>
    </font>
    <font>
      <b val="true"/>
      <sz val="9"/>
      <color rgb="FFFF0000"/>
      <name val="Calibri"/>
      <family val="2"/>
      <charset val="1"/>
    </font>
    <font>
      <b val="true"/>
      <sz val="8"/>
      <name val="Calibri"/>
      <family val="2"/>
      <charset val="1"/>
    </font>
    <font>
      <sz val="8"/>
      <color rgb="FFFF0000"/>
      <name val="Calibri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FFE0E0"/>
      </patternFill>
    </fill>
    <fill>
      <patternFill patternType="solid">
        <fgColor rgb="FFFFCCCC"/>
        <bgColor rgb="FFFFC7CE"/>
      </patternFill>
    </fill>
    <fill>
      <patternFill patternType="solid">
        <fgColor rgb="FFCC0000"/>
        <bgColor rgb="FFC00000"/>
      </patternFill>
    </fill>
    <fill>
      <patternFill patternType="solid">
        <fgColor rgb="FFCCFFCC"/>
        <bgColor rgb="FFC5E0B4"/>
      </patternFill>
    </fill>
    <fill>
      <patternFill patternType="solid">
        <fgColor rgb="FFFFFFCC"/>
        <bgColor rgb="FFFFFCF0"/>
      </patternFill>
    </fill>
    <fill>
      <patternFill patternType="solid">
        <fgColor rgb="FFC5E0B4"/>
        <bgColor rgb="FFDDDDDD"/>
      </patternFill>
    </fill>
    <fill>
      <patternFill patternType="solid">
        <fgColor rgb="FFBFBFBF"/>
        <bgColor rgb="FF9DC3E6"/>
      </patternFill>
    </fill>
    <fill>
      <patternFill patternType="solid">
        <fgColor rgb="FFFFFF00"/>
        <bgColor rgb="FFFFFF00"/>
      </patternFill>
    </fill>
    <fill>
      <patternFill patternType="solid">
        <fgColor rgb="FFF4B183"/>
        <bgColor rgb="FFFFC7CE"/>
      </patternFill>
    </fill>
    <fill>
      <patternFill patternType="solid">
        <fgColor rgb="FF9DC3E6"/>
        <bgColor rgb="FFBFBFBF"/>
      </patternFill>
    </fill>
    <fill>
      <patternFill patternType="solid">
        <fgColor rgb="FFFFFFFF"/>
        <bgColor rgb="FFFFFCF0"/>
      </patternFill>
    </fill>
    <fill>
      <patternFill patternType="solid">
        <fgColor rgb="FFFF5050"/>
        <bgColor rgb="FFFF8080"/>
      </patternFill>
    </fill>
    <fill>
      <patternFill patternType="solid">
        <fgColor rgb="FF92D050"/>
        <bgColor rgb="FFC5E0B4"/>
      </patternFill>
    </fill>
    <fill>
      <patternFill patternType="solid">
        <fgColor rgb="FFFFC000"/>
        <bgColor rgb="FFFF9900"/>
      </patternFill>
    </fill>
    <fill>
      <patternFill patternType="solid">
        <fgColor rgb="FFFFFCF0"/>
        <bgColor rgb="FFFFFFFF"/>
      </patternFill>
    </fill>
    <fill>
      <patternFill patternType="solid">
        <fgColor rgb="FFBDD7EE"/>
        <bgColor rgb="FFDDDDDD"/>
      </patternFill>
    </fill>
  </fills>
  <borders count="2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dashDot">
        <color rgb="FFFF0000"/>
      </left>
      <right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dashDot">
        <color rgb="FFFF0000"/>
      </right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dashDot">
        <color rgb="FFFF0000"/>
      </right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dashDot">
        <color rgb="FFFF0000"/>
      </right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dashDot">
        <color rgb="FFFF0000"/>
      </left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medium"/>
      <top style="medium"/>
      <bottom style="medium"/>
      <diagonal/>
    </border>
  </borders>
  <cellStyleXfs count="4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8" borderId="1" applyFont="true" applyBorder="tru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18" fillId="0" borderId="2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9" borderId="0" xfId="17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1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1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6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1" fillId="9" borderId="6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22" fillId="0" borderId="8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2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1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5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0" fillId="9" borderId="2" xfId="19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0" fontId="0" fillId="11" borderId="3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0" fillId="11" borderId="3" xfId="17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2" fontId="0" fillId="11" borderId="2" xfId="17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7" fontId="22" fillId="11" borderId="2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3" fillId="9" borderId="0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0" fillId="0" borderId="9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12" borderId="3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0" fillId="12" borderId="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72" fontId="0" fillId="1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22" fillId="12" borderId="12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22" fillId="12" borderId="5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4" fillId="0" borderId="2" xfId="2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20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9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2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12" borderId="5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6" fontId="23" fillId="9" borderId="2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0" fillId="0" borderId="6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0" fillId="1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22" fillId="12" borderId="3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13" borderId="3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0" fillId="13" borderId="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72" fontId="0" fillId="13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22" fillId="13" borderId="2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6" fontId="23" fillId="9" borderId="15" xfId="19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14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9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22" fillId="0" borderId="3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71" fontId="22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22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6" fillId="0" borderId="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16" xfId="1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71" fontId="0" fillId="9" borderId="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22" fillId="0" borderId="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6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22" fillId="9" borderId="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2" xfId="19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9" borderId="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0" fillId="0" borderId="2" xfId="17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9" fontId="0" fillId="9" borderId="2" xfId="17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7" fontId="22" fillId="0" borderId="17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0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22" fillId="0" borderId="6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1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1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9" borderId="2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20" fillId="14" borderId="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0" fillId="0" borderId="5" xfId="1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true" indent="0" shrinkToFit="false"/>
      <protection locked="true" hidden="false"/>
    </xf>
    <xf numFmtId="170" fontId="0" fillId="0" borderId="3" xfId="1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9" borderId="5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9" borderId="5" xfId="19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0" borderId="2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0" fillId="9" borderId="6" xfId="19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9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22" fillId="0" borderId="1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2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0" fillId="11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2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6" fontId="0" fillId="0" borderId="1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0" fillId="0" borderId="18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70" fontId="20" fillId="12" borderId="2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0" fillId="0" borderId="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0" fillId="0" borderId="1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2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6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20" fillId="13" borderId="2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0" fillId="0" borderId="1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1" fillId="0" borderId="2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1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11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20" fillId="12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20" fillId="13" borderId="7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20" fillId="10" borderId="2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1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1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15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0" borderId="2" xfId="0" applyFont="false" applyBorder="true" applyAlignment="true" applyProtection="true">
      <alignment horizontal="left" vertical="top" textRotation="0" wrapText="false" indent="0" shrinkToFit="false"/>
      <protection locked="true" hidden="false"/>
    </xf>
    <xf numFmtId="169" fontId="0" fillId="0" borderId="2" xfId="0" applyFont="false" applyBorder="true" applyAlignment="true" applyProtection="true">
      <alignment horizontal="left" vertical="top" textRotation="0" wrapText="false" indent="0" shrinkToFit="false"/>
      <protection locked="true" hidden="false"/>
    </xf>
    <xf numFmtId="169" fontId="0" fillId="0" borderId="7" xfId="0" applyFont="false" applyBorder="true" applyAlignment="true" applyProtection="true">
      <alignment horizontal="left" vertical="top" textRotation="0" wrapText="false" indent="0" shrinkToFit="false"/>
      <protection locked="true" hidden="false"/>
    </xf>
    <xf numFmtId="169" fontId="0" fillId="0" borderId="22" xfId="0" applyFont="false" applyBorder="true" applyAlignment="true" applyProtection="true">
      <alignment horizontal="left" vertical="top" textRotation="0" wrapText="false" indent="0" shrinkToFit="false"/>
      <protection locked="true" hidden="false"/>
    </xf>
    <xf numFmtId="169" fontId="0" fillId="0" borderId="18" xfId="17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9" fontId="0" fillId="0" borderId="2" xfId="17" applyFont="true" applyBorder="true" applyAlignment="true" applyProtection="true">
      <alignment horizontal="left" vertical="top" textRotation="0" wrapText="false" indent="0" shrinkToFit="false"/>
      <protection locked="true" hidden="false"/>
    </xf>
    <xf numFmtId="171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0" borderId="23" xfId="0" applyFont="false" applyBorder="true" applyAlignment="true" applyProtection="true">
      <alignment horizontal="left" vertical="top" textRotation="0" wrapText="false" indent="0" shrinkToFit="false"/>
      <protection locked="true" hidden="false"/>
    </xf>
    <xf numFmtId="164" fontId="22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2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2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2" fillId="0" borderId="2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1" fontId="3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1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20" fillId="10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20" fillId="10" borderId="2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9" fontId="0" fillId="0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9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1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0" fillId="0" borderId="0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30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30" fillId="16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0" fillId="0" borderId="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3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17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0" fillId="0" borderId="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3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0" fillId="0" borderId="14" xfId="1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35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70" fontId="0" fillId="0" borderId="20" xfId="1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6" fontId="3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8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7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8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1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39" fillId="0" borderId="16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2" fontId="39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0" fillId="19" borderId="7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0" fillId="11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0" fillId="17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0" fillId="9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0" fillId="16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1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24" fillId="0" borderId="2" xfId="20" applyFont="true" applyBorder="true" applyAlignment="true" applyProtection="true">
      <alignment horizontal="general" vertical="bottom" textRotation="0" wrapText="true" indent="0" shrinkToFit="false"/>
      <protection locked="true" hidden="false"/>
    </xf>
  </cellXfs>
  <cellStyles count="2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1"/>
    <cellStyle name="Accent 2 6" xfId="22"/>
    <cellStyle name="Accent 3 7" xfId="23"/>
    <cellStyle name="Accent 4" xfId="24"/>
    <cellStyle name="Bad 8" xfId="25"/>
    <cellStyle name="Default 9" xfId="26"/>
    <cellStyle name="Error 10" xfId="27"/>
    <cellStyle name="Euro" xfId="28"/>
    <cellStyle name="Footnote 11" xfId="29"/>
    <cellStyle name="Good 12" xfId="30"/>
    <cellStyle name="Heading 1 14" xfId="31"/>
    <cellStyle name="Heading 13" xfId="32"/>
    <cellStyle name="Heading 2 15" xfId="33"/>
    <cellStyle name="Hyperlink 16" xfId="34"/>
    <cellStyle name="Neutral 17" xfId="35"/>
    <cellStyle name="Normale 2" xfId="36"/>
    <cellStyle name="Note 18" xfId="37"/>
    <cellStyle name="Result 19" xfId="38"/>
    <cellStyle name="Status 20" xfId="39"/>
    <cellStyle name="Text 21" xfId="40"/>
    <cellStyle name="Warning 22" xfId="41"/>
    <cellStyle name="*unknown*" xfId="20" builtinId="8"/>
  </cellStyles>
  <dxfs count="19">
    <dxf>
      <font>
        <name val="Calibri"/>
        <charset val="1"/>
        <family val="0"/>
        <color rgb="FF000000"/>
        <sz val="11"/>
      </font>
      <fill>
        <patternFill>
          <bgColor rgb="FFFFE0E0"/>
        </patternFill>
      </fill>
    </dxf>
    <dxf>
      <font>
        <name val="Calibri"/>
        <charset val="1"/>
        <family val="0"/>
        <b val="1"/>
        <i val="0"/>
        <color rgb="FF548235"/>
        <sz val="11"/>
      </font>
    </dxf>
    <dxf>
      <font>
        <name val="Calibri"/>
        <charset val="1"/>
        <family val="0"/>
        <b val="1"/>
        <i val="0"/>
        <color rgb="FFFF0000"/>
        <sz val="11"/>
      </font>
    </dxf>
    <dxf>
      <font>
        <name val="Calibri"/>
        <charset val="1"/>
        <family val="0"/>
        <b val="1"/>
        <i val="0"/>
        <color rgb="FF548235"/>
        <sz val="11"/>
      </font>
    </dxf>
    <dxf>
      <font>
        <name val="Calibri"/>
        <charset val="1"/>
        <family val="0"/>
        <b val="1"/>
        <i val="0"/>
        <color rgb="FFC00000"/>
        <sz val="11"/>
      </font>
    </dxf>
    <dxf>
      <font>
        <name val="Calibri"/>
        <charset val="1"/>
        <family val="0"/>
        <b val="1"/>
        <i val="0"/>
        <color rgb="FF548235"/>
        <sz val="11"/>
      </font>
    </dxf>
    <dxf>
      <font>
        <name val="Calibri"/>
        <charset val="1"/>
        <family val="0"/>
        <b val="1"/>
        <i val="0"/>
        <color rgb="FFC00000"/>
        <sz val="11"/>
      </font>
    </dxf>
    <dxf>
      <font>
        <name val="Calibri"/>
        <charset val="1"/>
        <family val="0"/>
        <b val="1"/>
        <i val="0"/>
        <color rgb="FF548235"/>
        <sz val="11"/>
      </font>
    </dxf>
    <dxf>
      <font>
        <name val="Calibri"/>
        <charset val="1"/>
        <family val="0"/>
        <b val="1"/>
        <i val="0"/>
        <color rgb="FFC00000"/>
        <sz val="11"/>
      </font>
    </dxf>
    <dxf>
      <font>
        <name val="Calibri"/>
        <charset val="1"/>
        <family val="0"/>
        <color rgb="FF9C0006"/>
        <sz val="11"/>
      </font>
    </dxf>
    <dxf>
      <font>
        <name val="Calibri"/>
        <charset val="1"/>
        <family val="0"/>
        <color rgb="FF9C0006"/>
        <sz val="11"/>
      </font>
    </dxf>
    <dxf>
      <font>
        <name val="Calibri"/>
        <charset val="1"/>
        <family val="0"/>
        <color rgb="FF9C0006"/>
        <sz val="11"/>
      </font>
    </dxf>
    <dxf>
      <font>
        <name val="Calibri"/>
        <charset val="1"/>
        <family val="0"/>
        <b val="1"/>
        <i val="0"/>
        <color rgb="FF548235"/>
        <sz val="11"/>
      </font>
      <fill>
        <patternFill>
          <bgColor rgb="FFFFFFFF"/>
        </patternFill>
      </fill>
    </dxf>
    <dxf>
      <font>
        <name val="Calibri"/>
        <charset val="1"/>
        <family val="0"/>
        <color rgb="FF9C0006"/>
        <sz val="11"/>
      </font>
    </dxf>
    <dxf>
      <font>
        <name val="Calibri"/>
        <charset val="1"/>
        <family val="0"/>
        <b val="1"/>
        <i val="0"/>
        <color rgb="FF548235"/>
        <sz val="11"/>
      </font>
      <fill>
        <patternFill>
          <bgColor rgb="FFFFFFFF"/>
        </patternFill>
      </fill>
    </dxf>
    <dxf>
      <font>
        <name val="Calibri"/>
        <charset val="1"/>
        <family val="0"/>
        <b val="1"/>
        <i val="0"/>
        <color rgb="FF9C0006"/>
        <sz val="11"/>
      </font>
      <fill>
        <patternFill>
          <bgColor rgb="FFFFFFFF"/>
        </patternFill>
      </fill>
    </dxf>
    <dxf>
      <font>
        <name val="Calibri"/>
        <charset val="1"/>
        <family val="0"/>
        <color rgb="FF548235"/>
        <sz val="11"/>
      </font>
      <fill>
        <patternFill>
          <bgColor rgb="FFFFC7CE"/>
        </patternFill>
      </fill>
    </dxf>
    <dxf>
      <font>
        <name val="Calibri"/>
        <charset val="1"/>
        <family val="0"/>
        <color rgb="FF9C0006"/>
        <sz val="11"/>
      </font>
    </dxf>
    <dxf>
      <font>
        <name val="Calibri"/>
        <charset val="1"/>
        <family val="0"/>
        <color rgb="FF000000"/>
        <sz val="11"/>
      </font>
    </dxf>
  </dxfs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9C0006"/>
      <rgbColor rgb="FF006600"/>
      <rgbColor rgb="FF000080"/>
      <rgbColor rgb="FF996600"/>
      <rgbColor rgb="FF800080"/>
      <rgbColor rgb="FF00B050"/>
      <rgbColor rgb="FFBFBFBF"/>
      <rgbColor rgb="FF808080"/>
      <rgbColor rgb="FF9999FF"/>
      <rgbColor rgb="FF993366"/>
      <rgbColor rgb="FFFFFFCC"/>
      <rgbColor rgb="FFFFFCF0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C00000"/>
      <rgbColor rgb="FF008080"/>
      <rgbColor rgb="FF0000FF"/>
      <rgbColor rgb="FF00CCFF"/>
      <rgbColor rgb="FFDDDDDD"/>
      <rgbColor rgb="FFCCFFCC"/>
      <rgbColor rgb="FFFFE0E0"/>
      <rgbColor rgb="FF9DC3E6"/>
      <rgbColor rgb="FFF4B183"/>
      <rgbColor rgb="FFFFC7CE"/>
      <rgbColor rgb="FFFFCCCC"/>
      <rgbColor rgb="FF3366FF"/>
      <rgbColor rgb="FF33CCCC"/>
      <rgbColor rgb="FF92D050"/>
      <rgbColor rgb="FFFFC000"/>
      <rgbColor rgb="FFFF9900"/>
      <rgbColor rgb="FFFF5050"/>
      <rgbColor rgb="FF666699"/>
      <rgbColor rgb="FFC5E0B4"/>
      <rgbColor rgb="FF003366"/>
      <rgbColor rgb="FF548235"/>
      <rgbColor rgb="FF003300"/>
      <rgbColor rgb="FF333300"/>
      <rgbColor rgb="FFCC00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1476360</xdr:colOff>
      <xdr:row>26</xdr:row>
      <xdr:rowOff>35640</xdr:rowOff>
    </xdr:from>
    <xdr:to>
      <xdr:col>15</xdr:col>
      <xdr:colOff>495720</xdr:colOff>
      <xdr:row>110</xdr:row>
      <xdr:rowOff>74520</xdr:rowOff>
    </xdr:to>
    <xdr:pic>
      <xdr:nvPicPr>
        <xdr:cNvPr id="0" name="Immagine 1" descr=""/>
        <xdr:cNvPicPr/>
      </xdr:nvPicPr>
      <xdr:blipFill>
        <a:blip r:embed="rId1"/>
        <a:stretch/>
      </xdr:blipFill>
      <xdr:spPr>
        <a:xfrm>
          <a:off x="16489800" y="4969440"/>
          <a:ext cx="5644080" cy="2706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1488240</xdr:colOff>
      <xdr:row>110</xdr:row>
      <xdr:rowOff>23760</xdr:rowOff>
    </xdr:from>
    <xdr:to>
      <xdr:col>15</xdr:col>
      <xdr:colOff>567000</xdr:colOff>
      <xdr:row>120</xdr:row>
      <xdr:rowOff>110520</xdr:rowOff>
    </xdr:to>
    <xdr:pic>
      <xdr:nvPicPr>
        <xdr:cNvPr id="1" name="Immagine 2" descr=""/>
        <xdr:cNvPicPr/>
      </xdr:nvPicPr>
      <xdr:blipFill>
        <a:blip r:embed="rId2"/>
        <a:stretch/>
      </xdr:blipFill>
      <xdr:spPr>
        <a:xfrm>
          <a:off x="16501680" y="7624800"/>
          <a:ext cx="5703480" cy="19915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AC170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80" zoomScalePageLayoutView="100" workbookViewId="0">
      <selection pane="topLeft" activeCell="D5" activeCellId="0" sqref="D5"/>
    </sheetView>
  </sheetViews>
  <sheetFormatPr defaultColWidth="8.71484375" defaultRowHeight="15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1" width="4.57"/>
    <col collapsed="false" customWidth="true" hidden="false" outlineLevel="0" max="3" min="3" style="1" width="39.42"/>
    <col collapsed="false" customWidth="true" hidden="false" outlineLevel="0" max="4" min="4" style="1" width="25.29"/>
    <col collapsed="false" customWidth="true" hidden="false" outlineLevel="0" max="5" min="5" style="1" width="21.14"/>
    <col collapsed="false" customWidth="true" hidden="false" outlineLevel="0" max="6" min="6" style="1" width="21.43"/>
    <col collapsed="false" customWidth="true" hidden="false" outlineLevel="0" max="7" min="7" style="1" width="21"/>
    <col collapsed="false" customWidth="true" hidden="false" outlineLevel="0" max="8" min="8" style="1" width="20.29"/>
    <col collapsed="false" customWidth="true" hidden="false" outlineLevel="0" max="9" min="9" style="1" width="16"/>
    <col collapsed="false" customWidth="true" hidden="false" outlineLevel="0" max="10" min="10" style="1" width="18.57"/>
    <col collapsed="false" customWidth="true" hidden="false" outlineLevel="0" max="11" min="11" style="1" width="21.43"/>
    <col collapsed="false" customWidth="true" hidden="false" outlineLevel="0" max="12" min="12" style="1" width="28.86"/>
    <col collapsed="false" customWidth="true" hidden="false" outlineLevel="0" max="13" min="13" style="1" width="28.42"/>
    <col collapsed="false" customWidth="true" hidden="false" outlineLevel="0" max="14" min="14" style="1" width="23.86"/>
    <col collapsed="false" customWidth="true" hidden="false" outlineLevel="0" max="15" min="15" style="1" width="12.86"/>
    <col collapsed="false" customWidth="true" hidden="false" outlineLevel="0" max="16" min="16" style="1" width="12.29"/>
    <col collapsed="false" customWidth="true" hidden="true" outlineLevel="0" max="17" min="17" style="1" width="16.14"/>
    <col collapsed="false" customWidth="true" hidden="false" outlineLevel="0" max="18" min="18" style="1" width="18.86"/>
    <col collapsed="false" customWidth="true" hidden="false" outlineLevel="0" max="23" min="23" style="1" width="15.71"/>
    <col collapsed="false" customWidth="true" hidden="true" outlineLevel="0" max="24" min="24" style="1" width="8.42"/>
    <col collapsed="false" customWidth="true" hidden="false" outlineLevel="0" max="27" min="27" style="1" width="17"/>
    <col collapsed="false" customWidth="true" hidden="false" outlineLevel="0" max="29" min="29" style="1" width="11"/>
  </cols>
  <sheetData>
    <row r="2" customFormat="false" ht="15" hidden="false" customHeight="false" outlineLevel="0" collapsed="false">
      <c r="H2" s="2"/>
    </row>
    <row r="3" customFormat="false" ht="13.5" hidden="false" customHeight="true" outlineLevel="0" collapsed="false">
      <c r="C3" s="3" t="s">
        <v>0</v>
      </c>
      <c r="D3" s="4" t="s">
        <v>1</v>
      </c>
      <c r="E3" s="4"/>
      <c r="F3" s="4"/>
      <c r="G3" s="4"/>
      <c r="H3" s="4"/>
      <c r="I3" s="4"/>
      <c r="J3" s="4"/>
      <c r="K3" s="4"/>
      <c r="L3" s="4"/>
      <c r="M3" s="4"/>
      <c r="N3" s="4"/>
    </row>
    <row r="4" customFormat="false" ht="15" hidden="false" customHeight="false" outlineLevel="0" collapsed="false">
      <c r="C4" s="3" t="s">
        <v>2</v>
      </c>
      <c r="D4" s="5" t="s">
        <v>3</v>
      </c>
      <c r="E4" s="5"/>
      <c r="H4" s="2"/>
    </row>
    <row r="5" customFormat="false" ht="15" hidden="false" customHeight="false" outlineLevel="0" collapsed="false">
      <c r="C5" s="3" t="s">
        <v>4</v>
      </c>
      <c r="D5" s="6" t="s">
        <v>5</v>
      </c>
      <c r="E5" s="6"/>
      <c r="H5" s="2"/>
    </row>
    <row r="6" customFormat="false" ht="15" hidden="false" customHeight="false" outlineLevel="0" collapsed="false">
      <c r="D6" s="7"/>
      <c r="H6" s="2"/>
    </row>
    <row r="7" customFormat="false" ht="15" hidden="false" customHeight="false" outlineLevel="0" collapsed="false">
      <c r="C7" s="8" t="s">
        <v>6</v>
      </c>
      <c r="D7" s="9" t="n">
        <v>80688</v>
      </c>
      <c r="E7" s="10"/>
      <c r="F7" s="11" t="s">
        <v>7</v>
      </c>
      <c r="G7" s="11" t="s">
        <v>8</v>
      </c>
      <c r="H7" s="12" t="s">
        <v>9</v>
      </c>
      <c r="I7" s="12" t="s">
        <v>10</v>
      </c>
      <c r="J7" s="13" t="s">
        <v>11</v>
      </c>
      <c r="M7" s="14" t="s">
        <v>12</v>
      </c>
      <c r="N7" s="14"/>
      <c r="O7" s="14"/>
      <c r="P7" s="14"/>
      <c r="Q7" s="14"/>
      <c r="R7" s="14"/>
      <c r="S7" s="14"/>
      <c r="T7" s="14"/>
      <c r="U7" s="14"/>
      <c r="V7" s="14"/>
      <c r="W7" s="14"/>
    </row>
    <row r="8" customFormat="false" ht="15" hidden="false" customHeight="false" outlineLevel="0" collapsed="false">
      <c r="C8" s="15" t="s">
        <v>13</v>
      </c>
      <c r="D8" s="16" t="n">
        <f aca="false">IF(D7&lt;=221000,0.02,0)+IF(D7&gt;221000,0.018,0)+IF(D7&gt;1000001,0.016-0.018,0)+IF(D7&gt;3000001,0.014-0.016,0)+IF(D7&gt;5000000,0.012-0.014,0)</f>
        <v>0.02</v>
      </c>
      <c r="F8" s="17" t="s">
        <v>14</v>
      </c>
      <c r="G8" s="18" t="s">
        <v>15</v>
      </c>
      <c r="H8" s="19" t="n">
        <f aca="false">0.3-H9-H10</f>
        <v>0.23</v>
      </c>
      <c r="I8" s="20" t="n">
        <f aca="false">IF($D$18=NOMINATIVI!$E$4,$D$10*H8*0.8,$D$10*H8*0.8*0.7)</f>
        <v>296.93184</v>
      </c>
      <c r="J8" s="21" t="str">
        <f aca="false">_xlfn.IFS(H8&lt;0,NOMINATIVI!$H$29,H8&gt;0.3,NOMINATIVI!$H$29,H8&lt;0.3,NOMINATIVI!$H$28,H8&gt;0,NOMINATIVI!$H$28)</f>
        <v>√</v>
      </c>
      <c r="M8" s="14" t="s">
        <v>16</v>
      </c>
      <c r="N8" s="14" t="s">
        <v>17</v>
      </c>
      <c r="O8" s="14" t="s">
        <v>18</v>
      </c>
      <c r="P8" s="22" t="s">
        <v>19</v>
      </c>
      <c r="Q8" s="8"/>
      <c r="R8" s="14" t="s">
        <v>20</v>
      </c>
      <c r="S8" s="14" t="s">
        <v>21</v>
      </c>
      <c r="T8" s="14"/>
      <c r="U8" s="14"/>
      <c r="V8" s="14"/>
      <c r="W8" s="14" t="s">
        <v>22</v>
      </c>
    </row>
    <row r="9" customFormat="false" ht="15" hidden="false" customHeight="false" outlineLevel="0" collapsed="false">
      <c r="D9" s="23"/>
      <c r="F9" s="24" t="str">
        <f aca="false">IF(H9=0,NOMINATIVI!I7,NOMINATIVI!H7)</f>
        <v>_RP AFFIDAMENTO (*)</v>
      </c>
      <c r="G9" s="18" t="s">
        <v>15</v>
      </c>
      <c r="H9" s="25" t="n">
        <v>0.02</v>
      </c>
      <c r="I9" s="20" t="n">
        <f aca="false">IF($D$18=NOMINATIVI!$E$4,$D$10*H9*0.8,$D$10*H9*0.8*0.7)</f>
        <v>25.82016</v>
      </c>
      <c r="J9" s="21" t="str">
        <f aca="false">IF(H9&gt;30/100,NOMINATIVI!$H$29,NOMINATIVI!$H$28)</f>
        <v>√</v>
      </c>
      <c r="M9" s="26" t="s">
        <v>23</v>
      </c>
      <c r="N9" s="27" t="n">
        <v>46174</v>
      </c>
      <c r="O9" s="28" t="n">
        <v>46193</v>
      </c>
      <c r="P9" s="28" t="n">
        <v>46196</v>
      </c>
      <c r="Q9" s="29"/>
      <c r="R9" s="30" t="n">
        <f aca="false">+(P9-N9)/(O9-N9)-1</f>
        <v>0.157894736842105</v>
      </c>
      <c r="S9" s="31"/>
      <c r="T9" s="31"/>
      <c r="U9" s="31"/>
      <c r="V9" s="31"/>
      <c r="W9" s="32"/>
      <c r="X9" s="33" t="n">
        <v>0.1</v>
      </c>
      <c r="Y9" s="34"/>
    </row>
    <row r="10" customFormat="false" ht="15" hidden="false" customHeight="false" outlineLevel="0" collapsed="false">
      <c r="C10" s="8" t="s">
        <v>24</v>
      </c>
      <c r="D10" s="20" t="n">
        <f aca="false">IF(D7&lt;50000,0,D7*D8)</f>
        <v>1613.76</v>
      </c>
      <c r="F10" s="24" t="str">
        <f aca="false">IF(H10=0,NOMINATIVI!I8,NOMINATIVI!H8)</f>
        <v>_RP ESECUZIONE (*)</v>
      </c>
      <c r="G10" s="18" t="s">
        <v>25</v>
      </c>
      <c r="H10" s="25" t="n">
        <v>0.05</v>
      </c>
      <c r="I10" s="20" t="n">
        <f aca="false">IF($D$18=NOMINATIVI!$E$4,$D$10*H10*0.8,$D$10*H10*0.8*0.7)</f>
        <v>64.5504</v>
      </c>
      <c r="J10" s="21" t="str">
        <f aca="false">IF(H10&gt;30/100,NOMINATIVI!$H$29,NOMINATIVI!$H$28)</f>
        <v>√</v>
      </c>
      <c r="M10" s="35" t="s">
        <v>26</v>
      </c>
      <c r="N10" s="36" t="n">
        <v>46197</v>
      </c>
      <c r="O10" s="36" t="n">
        <v>46218</v>
      </c>
      <c r="P10" s="37" t="n">
        <v>46221</v>
      </c>
      <c r="Q10" s="38" t="n">
        <f aca="false">+(P10-N10)/(O10-N10)-1</f>
        <v>0.142857142857143</v>
      </c>
      <c r="R10" s="39"/>
      <c r="S10" s="40"/>
      <c r="T10" s="40"/>
      <c r="U10" s="40"/>
      <c r="V10" s="40"/>
      <c r="W10" s="41" t="s">
        <v>27</v>
      </c>
      <c r="X10" s="42" t="n">
        <v>0.3</v>
      </c>
      <c r="Y10" s="34"/>
    </row>
    <row r="11" customFormat="false" ht="15" hidden="false" customHeight="true" outlineLevel="0" collapsed="false">
      <c r="C11" s="43" t="s">
        <v>28</v>
      </c>
      <c r="D11" s="44" t="n">
        <f aca="false">D10-I28</f>
        <v>336.953088</v>
      </c>
      <c r="F11" s="45" t="s">
        <v>29</v>
      </c>
      <c r="G11" s="18" t="s">
        <v>15</v>
      </c>
      <c r="H11" s="19" t="n">
        <f aca="false">0.05</f>
        <v>0.05</v>
      </c>
      <c r="I11" s="20" t="n">
        <f aca="false">IF($D$18=NOMINATIVI!$E$4,$D$10*H11*0.8,$D$10*H11*0.8*0.5)</f>
        <v>64.5504</v>
      </c>
      <c r="J11" s="21" t="s">
        <v>30</v>
      </c>
      <c r="M11" s="35" t="s">
        <v>31</v>
      </c>
      <c r="N11" s="36" t="n">
        <v>46222</v>
      </c>
      <c r="O11" s="36" t="n">
        <v>46232</v>
      </c>
      <c r="P11" s="37" t="n">
        <v>46234</v>
      </c>
      <c r="Q11" s="38" t="n">
        <f aca="false">+(P11-N11)/(O11-N11)-1</f>
        <v>0.2</v>
      </c>
      <c r="R11" s="46" t="n">
        <f aca="false">SUM(Q10,Q11,Q12,)</f>
        <v>0.485714285714286</v>
      </c>
      <c r="S11" s="40"/>
      <c r="T11" s="40"/>
      <c r="U11" s="40"/>
      <c r="V11" s="40"/>
      <c r="W11" s="47"/>
      <c r="X11" s="42" t="n">
        <v>0.5</v>
      </c>
      <c r="Y11" s="34"/>
    </row>
    <row r="12" customFormat="false" ht="15" hidden="false" customHeight="true" outlineLevel="0" collapsed="false">
      <c r="B12" s="1" t="s">
        <v>32</v>
      </c>
      <c r="C12" s="43"/>
      <c r="D12" s="44"/>
      <c r="F12" s="48" t="s">
        <v>33</v>
      </c>
      <c r="G12" s="18" t="s">
        <v>15</v>
      </c>
      <c r="H12" s="19" t="n">
        <f aca="false">IF(G12=NOMINATIVI!B37,0,0.1-H13-H14)</f>
        <v>0.1</v>
      </c>
      <c r="I12" s="20" t="n">
        <f aca="false">IF($D$18=NOMINATIVI!$E$4,$D$10*H12*0.8,$D$10*H12*0.8*0.8)</f>
        <v>129.1008</v>
      </c>
      <c r="J12" s="21" t="str">
        <f aca="false">_xlfn.IFS(H12&lt;0,NOMINATIVI!$H$29,H12&gt;0.1,NOMINATIVI!$H$29,H12&lt;0.1,NOMINATIVI!$H$28,H12&gt;0,NOMINATIVI!$H$28)</f>
        <v>√</v>
      </c>
      <c r="M12" s="35" t="s">
        <v>34</v>
      </c>
      <c r="N12" s="36" t="n">
        <v>46244</v>
      </c>
      <c r="O12" s="36" t="n">
        <v>46258</v>
      </c>
      <c r="P12" s="49" t="n">
        <v>46260</v>
      </c>
      <c r="Q12" s="38" t="n">
        <f aca="false">+(P12-N12)/(O12-N12)-1</f>
        <v>0.142857142857143</v>
      </c>
      <c r="R12" s="50"/>
      <c r="S12" s="40"/>
      <c r="T12" s="40"/>
      <c r="U12" s="40"/>
      <c r="V12" s="40"/>
      <c r="W12" s="51" t="s">
        <v>27</v>
      </c>
      <c r="Y12" s="34"/>
    </row>
    <row r="13" customFormat="false" ht="15" hidden="false" customHeight="false" outlineLevel="0" collapsed="false">
      <c r="B13" s="1" t="s">
        <v>32</v>
      </c>
      <c r="C13" s="8" t="s">
        <v>35</v>
      </c>
      <c r="D13" s="20" t="n">
        <f aca="false">I28</f>
        <v>1276.806912</v>
      </c>
      <c r="F13" s="48"/>
      <c r="G13" s="18" t="s">
        <v>36</v>
      </c>
      <c r="H13" s="25" t="n">
        <v>0</v>
      </c>
      <c r="I13" s="20" t="n">
        <f aca="false">IF($D$18=NOMINATIVI!$E$4,$D$10*H13*0.8,$D$10*H13*0.8*0.8)</f>
        <v>0</v>
      </c>
      <c r="J13" s="21" t="str">
        <f aca="false">IF(H13&gt;10/100,NOMINATIVI!$H$29,NOMINATIVI!$H$28)</f>
        <v>√</v>
      </c>
      <c r="M13" s="52" t="s">
        <v>37</v>
      </c>
      <c r="N13" s="53" t="n">
        <v>46266</v>
      </c>
      <c r="O13" s="53" t="n">
        <v>46234</v>
      </c>
      <c r="P13" s="54" t="n">
        <v>46266</v>
      </c>
      <c r="Q13" s="29"/>
      <c r="R13" s="55" t="n">
        <f aca="false">+(P13-N13)/(O13-N13)-1</f>
        <v>-1</v>
      </c>
      <c r="S13" s="40"/>
      <c r="T13" s="40"/>
      <c r="U13" s="40"/>
      <c r="V13" s="40"/>
      <c r="W13" s="56"/>
      <c r="Y13" s="34"/>
    </row>
    <row r="14" customFormat="false" ht="15" hidden="false" customHeight="true" outlineLevel="0" collapsed="false">
      <c r="C14" s="57" t="s">
        <v>38</v>
      </c>
      <c r="D14" s="58" t="n">
        <f aca="false">+K119</f>
        <v>87.29</v>
      </c>
      <c r="F14" s="48"/>
      <c r="G14" s="18" t="s">
        <v>36</v>
      </c>
      <c r="H14" s="25" t="n">
        <v>0</v>
      </c>
      <c r="I14" s="20" t="n">
        <f aca="false">IF($D$18=NOMINATIVI!$E$4,$D$10*H14*0.8,$D$10*H14*0.8*0.8)</f>
        <v>0</v>
      </c>
      <c r="J14" s="21" t="str">
        <f aca="false">IF(H14&gt;10/100,NOMINATIVI!$H$29,NOMINATIVI!$H$28)</f>
        <v>√</v>
      </c>
      <c r="M14" s="59" t="s">
        <v>39</v>
      </c>
      <c r="N14" s="60" t="n">
        <f aca="false">-(N9-O9)+-(N10-O10)+-(N11-O11)+-(N12-O12)+-(N13-O13)</f>
        <v>32</v>
      </c>
      <c r="O14" s="60"/>
      <c r="P14" s="61" t="n">
        <f aca="false">-(N9-P9)+-(N10-P10)+-(N11-P11)+-(N12-P12)+-(N13-P13)</f>
        <v>74</v>
      </c>
      <c r="Q14" s="61"/>
      <c r="R14" s="62" t="n">
        <f aca="false">P14/N14</f>
        <v>2.3125</v>
      </c>
      <c r="S14" s="31"/>
      <c r="T14" s="31"/>
      <c r="U14" s="31"/>
      <c r="V14" s="31"/>
      <c r="W14" s="8"/>
      <c r="Y14" s="34"/>
    </row>
    <row r="15" customFormat="false" ht="15" hidden="false" customHeight="false" outlineLevel="0" collapsed="false">
      <c r="C15" s="57"/>
      <c r="D15" s="58"/>
      <c r="F15" s="63" t="s">
        <v>40</v>
      </c>
      <c r="G15" s="64" t="str">
        <f aca="false">G8</f>
        <v>LEONE Luca</v>
      </c>
      <c r="H15" s="65" t="n">
        <f aca="false">IF(G15=G8,0.05*0.9,0.05)</f>
        <v>0.045</v>
      </c>
      <c r="I15" s="20" t="n">
        <f aca="false">IF($D$18=NOMINATIVI!$E$4,$D$10*H15*0.8,$D$10*H15*0.8*0)</f>
        <v>58.09536</v>
      </c>
      <c r="J15" s="21" t="s">
        <v>30</v>
      </c>
      <c r="S15" s="23"/>
      <c r="T15" s="23"/>
      <c r="U15" s="23"/>
      <c r="W15" s="23"/>
    </row>
    <row r="16" customFormat="false" ht="15" hidden="false" customHeight="false" outlineLevel="0" collapsed="false">
      <c r="C16" s="57"/>
      <c r="D16" s="58"/>
      <c r="F16" s="66" t="s">
        <v>41</v>
      </c>
      <c r="G16" s="18" t="s">
        <v>15</v>
      </c>
      <c r="H16" s="67" t="n">
        <f aca="false">IF(G16=G8,(0.15)*0.9*0.4,0.15)</f>
        <v>0.054</v>
      </c>
      <c r="I16" s="20" t="n">
        <f aca="false">IF($D$18=NOMINATIVI!$E$4,$D$10*H16*0.8,$D$10*H16*0.8*0)</f>
        <v>69.714432</v>
      </c>
      <c r="J16" s="21" t="s">
        <v>30</v>
      </c>
    </row>
    <row r="17" customFormat="false" ht="15" hidden="false" customHeight="false" outlineLevel="0" collapsed="false">
      <c r="F17" s="66"/>
      <c r="G17" s="18" t="s">
        <v>15</v>
      </c>
      <c r="H17" s="68" t="n">
        <f aca="false">IF(G16=G8,0.045-H18,0)</f>
        <v>0.045</v>
      </c>
      <c r="I17" s="20" t="n">
        <f aca="false">IF($D$18=NOMINATIVI!$E$4,$D$10*H17*0.8,$D$10*H17*0.8*0)</f>
        <v>58.09536</v>
      </c>
      <c r="J17" s="21" t="s">
        <v>30</v>
      </c>
    </row>
    <row r="18" customFormat="false" ht="15" hidden="false" customHeight="false" outlineLevel="0" collapsed="false">
      <c r="C18" s="69" t="s">
        <v>42</v>
      </c>
      <c r="D18" s="6" t="s">
        <v>43</v>
      </c>
      <c r="F18" s="66"/>
      <c r="G18" s="18" t="s">
        <v>36</v>
      </c>
      <c r="H18" s="70" t="n">
        <v>0</v>
      </c>
      <c r="I18" s="20" t="n">
        <f aca="false">IF($D$18=NOMINATIVI!$E$4,$D$10*H18*0.8,$D$10*H18*0.8*0)</f>
        <v>0</v>
      </c>
      <c r="J18" s="21" t="str">
        <f aca="false">IF(H18&gt;4.5/100,NOMINATIVI!$H$29,NOMINATIVI!$H$28)</f>
        <v>√</v>
      </c>
      <c r="M18" s="14" t="s">
        <v>44</v>
      </c>
      <c r="N18" s="14"/>
      <c r="O18" s="14"/>
      <c r="P18" s="14"/>
      <c r="Q18" s="14"/>
      <c r="R18" s="14"/>
    </row>
    <row r="19" customFormat="false" ht="15" hidden="false" customHeight="true" outlineLevel="0" collapsed="false">
      <c r="F19" s="66"/>
      <c r="G19" s="18" t="s">
        <v>25</v>
      </c>
      <c r="H19" s="68" t="n">
        <f aca="false">IF(G16=G8,0.045-H20,0)</f>
        <v>0.045</v>
      </c>
      <c r="I19" s="20" t="n">
        <f aca="false">IF($D$18=NOMINATIVI!$E$4,$D$10*H19*0.8,$D$10*H19*0.8*0)</f>
        <v>58.09536</v>
      </c>
      <c r="J19" s="21" t="s">
        <v>30</v>
      </c>
      <c r="M19" s="14" t="s">
        <v>45</v>
      </c>
      <c r="N19" s="14"/>
      <c r="O19" s="14" t="s">
        <v>46</v>
      </c>
      <c r="P19" s="14"/>
      <c r="Q19" s="71"/>
      <c r="R19" s="14" t="s">
        <v>47</v>
      </c>
      <c r="T19" s="72" t="s">
        <v>48</v>
      </c>
      <c r="U19" s="72"/>
      <c r="V19" s="72"/>
      <c r="W19" s="72"/>
    </row>
    <row r="20" customFormat="false" ht="15" hidden="false" customHeight="false" outlineLevel="0" collapsed="false">
      <c r="F20" s="66"/>
      <c r="G20" s="18" t="s">
        <v>36</v>
      </c>
      <c r="H20" s="70" t="n">
        <v>0</v>
      </c>
      <c r="I20" s="20" t="n">
        <f aca="false">IF($D$18=NOMINATIVI!$E$4,$D$10*H20*0.8,$D$10*H20*0.8*0)</f>
        <v>0</v>
      </c>
      <c r="J20" s="21" t="str">
        <f aca="false">IF(H20&gt;4.5/100,NOMINATIVI!$H$29,NOMINATIVI!$H$28)</f>
        <v>√</v>
      </c>
      <c r="M20" s="73" t="n">
        <f aca="false">D7</f>
        <v>80688</v>
      </c>
      <c r="N20" s="73"/>
      <c r="O20" s="74" t="n">
        <v>0</v>
      </c>
      <c r="P20" s="74"/>
      <c r="Q20" s="71"/>
      <c r="R20" s="75" t="n">
        <f aca="false">(O20/M20)-1</f>
        <v>-1</v>
      </c>
      <c r="T20" s="72"/>
      <c r="U20" s="72"/>
      <c r="V20" s="72"/>
      <c r="W20" s="72"/>
    </row>
    <row r="21" customFormat="false" ht="15" hidden="false" customHeight="true" outlineLevel="0" collapsed="false">
      <c r="C21" s="76" t="s">
        <v>49</v>
      </c>
      <c r="D21" s="76"/>
      <c r="E21" s="76"/>
      <c r="F21" s="77" t="s">
        <v>50</v>
      </c>
      <c r="G21" s="18" t="s">
        <v>51</v>
      </c>
      <c r="H21" s="78" t="n">
        <f aca="false">IF(G21=NOMINATIVI!B37,0,IF(G21=G8,(0.25-H23-H24-H22)*0.9,0.25-H23-H24-H22))</f>
        <v>0.25</v>
      </c>
      <c r="I21" s="79" t="n">
        <f aca="false">$D$10*H21*0.8</f>
        <v>322.752</v>
      </c>
      <c r="J21" s="21" t="str">
        <f aca="false">_xlfn.IFS(H21&lt;0,NOMINATIVI!$H$29,H21&gt;0.25,NOMINATIVI!$H$29,H21&lt;0.25,NOMINATIVI!$H$28,H21&gt;0,NOMINATIVI!$H$28)</f>
        <v>√</v>
      </c>
      <c r="M21" s="80" t="s">
        <v>52</v>
      </c>
      <c r="N21" s="80"/>
      <c r="O21" s="80"/>
      <c r="P21" s="80"/>
      <c r="Q21" s="80"/>
      <c r="R21" s="80"/>
      <c r="T21" s="72"/>
      <c r="U21" s="72"/>
      <c r="V21" s="72"/>
      <c r="W21" s="72"/>
    </row>
    <row r="22" customFormat="false" ht="15" hidden="false" customHeight="false" outlineLevel="0" collapsed="false">
      <c r="F22" s="81"/>
      <c r="G22" s="82" t="s">
        <v>36</v>
      </c>
      <c r="H22" s="25" t="n">
        <v>0</v>
      </c>
      <c r="I22" s="79" t="n">
        <f aca="false">IF(G22=NOMINATIVI!B36,($D$10*H22*0.8*0),($D$10*H22*0.8))</f>
        <v>0</v>
      </c>
      <c r="J22" s="21" t="str">
        <f aca="false">IF(H22&gt;25/100,NOMINATIVI!$H$29,NOMINATIVI!$H$28)</f>
        <v>√</v>
      </c>
      <c r="M22" s="83"/>
      <c r="N22" s="83"/>
      <c r="O22" s="83"/>
      <c r="P22" s="83"/>
      <c r="Q22" s="83"/>
      <c r="R22" s="83"/>
      <c r="T22" s="72"/>
      <c r="U22" s="72"/>
      <c r="V22" s="72"/>
      <c r="W22" s="72"/>
    </row>
    <row r="23" customFormat="false" ht="15" hidden="false" customHeight="true" outlineLevel="0" collapsed="false">
      <c r="C23" s="76" t="s">
        <v>53</v>
      </c>
      <c r="D23" s="76"/>
      <c r="E23" s="76"/>
      <c r="F23" s="84"/>
      <c r="G23" s="82" t="s">
        <v>36</v>
      </c>
      <c r="H23" s="25" t="n">
        <v>0</v>
      </c>
      <c r="I23" s="79" t="n">
        <f aca="false">IF(G23=NOMINATIVI!B37,($D$10*H23*0.8*0),($D$10*H23*0.8))</f>
        <v>0</v>
      </c>
      <c r="J23" s="21" t="str">
        <f aca="false">IF(H23&gt;25/100,NOMINATIVI!$H$29,NOMINATIVI!$H$28)</f>
        <v>√</v>
      </c>
      <c r="M23" s="83"/>
      <c r="N23" s="83"/>
      <c r="O23" s="83"/>
      <c r="P23" s="83"/>
      <c r="Q23" s="83"/>
      <c r="R23" s="83"/>
      <c r="T23" s="72"/>
      <c r="U23" s="72"/>
      <c r="V23" s="72"/>
      <c r="W23" s="72"/>
    </row>
    <row r="24" customFormat="false" ht="15" hidden="false" customHeight="false" outlineLevel="0" collapsed="false">
      <c r="C24" s="85"/>
      <c r="D24" s="85"/>
      <c r="E24" s="85"/>
      <c r="F24" s="86" t="str">
        <f aca="false">IF(H24=0,NOMINATIVI!I11,NOMINATIVI!H11)</f>
        <v>n/a</v>
      </c>
      <c r="G24" s="87" t="s">
        <v>36</v>
      </c>
      <c r="H24" s="88" t="n">
        <v>0</v>
      </c>
      <c r="I24" s="79" t="n">
        <f aca="false">IF(G24=NOMINATIVI!B37,($D$10*H24*0.8*0),($D$10*H24*0.8))</f>
        <v>0</v>
      </c>
      <c r="J24" s="21" t="str">
        <f aca="false">IF(H24&gt;25/100,NOMINATIVI!$H$29,NOMINATIVI!$H$28)</f>
        <v>√</v>
      </c>
      <c r="M24" s="83"/>
      <c r="N24" s="83"/>
      <c r="O24" s="83"/>
      <c r="P24" s="83"/>
      <c r="Q24" s="83"/>
      <c r="R24" s="83"/>
      <c r="T24" s="72"/>
      <c r="U24" s="72"/>
      <c r="V24" s="72"/>
      <c r="W24" s="72"/>
    </row>
    <row r="25" customFormat="false" ht="15" hidden="false" customHeight="true" outlineLevel="0" collapsed="false">
      <c r="C25" s="76" t="s">
        <v>54</v>
      </c>
      <c r="D25" s="76"/>
      <c r="E25" s="76"/>
      <c r="F25" s="89" t="s">
        <v>55</v>
      </c>
      <c r="G25" s="18" t="s">
        <v>25</v>
      </c>
      <c r="H25" s="78" t="n">
        <f aca="false">0.1-H26-H27</f>
        <v>0.1</v>
      </c>
      <c r="I25" s="79" t="n">
        <f aca="false">IF($D$18=NOMINATIVI!$E$4,$D$10*H25*0.8,$D$10*H25*0.8*0.5)</f>
        <v>129.1008</v>
      </c>
      <c r="J25" s="21" t="str">
        <f aca="false">_xlfn.IFS(H25&lt;0,NOMINATIVI!$H$29,H25&gt;0.1,NOMINATIVI!$H$29,H25&lt;0.1,NOMINATIVI!$H$28,H25&gt;0,NOMINATIVI!$H$28)</f>
        <v>√</v>
      </c>
      <c r="M25" s="83"/>
      <c r="N25" s="83"/>
      <c r="O25" s="83"/>
      <c r="P25" s="83"/>
      <c r="Q25" s="83"/>
      <c r="R25" s="83"/>
      <c r="T25" s="72"/>
      <c r="U25" s="72"/>
      <c r="V25" s="72"/>
      <c r="W25" s="72"/>
    </row>
    <row r="26" customFormat="false" ht="15" hidden="false" customHeight="false" outlineLevel="0" collapsed="false">
      <c r="C26" s="76"/>
      <c r="D26" s="76"/>
      <c r="E26" s="76"/>
      <c r="F26" s="89"/>
      <c r="G26" s="18" t="s">
        <v>36</v>
      </c>
      <c r="H26" s="90" t="n">
        <v>0</v>
      </c>
      <c r="I26" s="79" t="n">
        <f aca="false">IF($D$18=NOMINATIVI!$E$4,$D$10*H26*0.8,$D$10*H26*0.8*0.5)</f>
        <v>0</v>
      </c>
      <c r="J26" s="21" t="str">
        <f aca="false">IF(H26&gt;10/100,NOMINATIVI!$H$29,NOMINATIVI!$H$28)</f>
        <v>√</v>
      </c>
      <c r="M26" s="83"/>
      <c r="N26" s="83"/>
      <c r="O26" s="83"/>
      <c r="P26" s="83"/>
      <c r="Q26" s="83"/>
      <c r="R26" s="83"/>
      <c r="T26" s="72"/>
      <c r="U26" s="72"/>
      <c r="V26" s="72"/>
      <c r="W26" s="72"/>
    </row>
    <row r="27" customFormat="false" ht="15" hidden="false" customHeight="false" outlineLevel="0" collapsed="false">
      <c r="C27" s="76"/>
      <c r="D27" s="76"/>
      <c r="E27" s="76"/>
      <c r="F27" s="89"/>
      <c r="G27" s="18" t="s">
        <v>36</v>
      </c>
      <c r="H27" s="90" t="n">
        <v>0</v>
      </c>
      <c r="I27" s="79" t="n">
        <f aca="false">IF($D$18=NOMINATIVI!$E$4,$D$10*H27*0.8,$D$10*H27*0.8*0.5)</f>
        <v>0</v>
      </c>
      <c r="J27" s="21" t="str">
        <f aca="false">IF(H27&gt;10/100,NOMINATIVI!$H$29,NOMINATIVI!$H$28)</f>
        <v>√</v>
      </c>
    </row>
    <row r="28" customFormat="false" ht="15" hidden="false" customHeight="false" outlineLevel="0" collapsed="false">
      <c r="G28" s="91" t="s">
        <v>56</v>
      </c>
      <c r="H28" s="92" t="n">
        <f aca="false">SUM(H8:H27)</f>
        <v>0.989</v>
      </c>
      <c r="I28" s="93" t="n">
        <f aca="false">SUM(I8:I27)</f>
        <v>1276.806912</v>
      </c>
      <c r="J28" s="94"/>
      <c r="K28" s="94"/>
      <c r="L28" s="94"/>
    </row>
    <row r="30" customFormat="false" ht="15" hidden="true" customHeight="false" outlineLevel="0" collapsed="false"/>
    <row r="31" customFormat="false" ht="15" hidden="true" customHeight="false" outlineLevel="0" collapsed="false">
      <c r="C31" s="95" t="s">
        <v>57</v>
      </c>
      <c r="D31" s="95"/>
      <c r="E31" s="95"/>
      <c r="F31" s="95"/>
      <c r="G31" s="95"/>
      <c r="H31" s="95"/>
      <c r="I31" s="95"/>
      <c r="J31" s="95"/>
      <c r="X31" s="96"/>
    </row>
    <row r="32" customFormat="false" ht="15" hidden="true" customHeight="false" outlineLevel="0" collapsed="false">
      <c r="C32" s="14" t="s">
        <v>7</v>
      </c>
      <c r="D32" s="14" t="s">
        <v>58</v>
      </c>
      <c r="E32" s="14" t="s">
        <v>59</v>
      </c>
      <c r="F32" s="14" t="s">
        <v>10</v>
      </c>
      <c r="G32" s="14" t="s">
        <v>60</v>
      </c>
      <c r="H32" s="14" t="s">
        <v>61</v>
      </c>
      <c r="I32" s="14" t="s">
        <v>62</v>
      </c>
      <c r="J32" s="14" t="s">
        <v>63</v>
      </c>
      <c r="M32" s="1" t="str">
        <f aca="false">G8</f>
        <v>LEONE Luca</v>
      </c>
      <c r="X32" s="96"/>
      <c r="AC32" s="96"/>
    </row>
    <row r="33" customFormat="false" ht="15" hidden="true" customHeight="false" outlineLevel="0" collapsed="false">
      <c r="C33" s="97" t="s">
        <v>14</v>
      </c>
      <c r="D33" s="98" t="str">
        <f aca="false">G8</f>
        <v>LEONE Luca</v>
      </c>
      <c r="E33" s="99" t="n">
        <v>0.5</v>
      </c>
      <c r="F33" s="20" t="n">
        <f aca="false">_xlfn.IFS($W$9=$X$9,E33*I8*0.9,$W$9=$X$10,E33*I8*0.7,$W$9=$X$11,E33*I8*0.5,$W$9=$X$12,E33*I8)</f>
        <v>148.46592</v>
      </c>
      <c r="G33" s="20" t="n">
        <f aca="false">TRUNC(IF(COUNTIF(NOMINATIVI!$S$5:$S$28,D33)&gt;0,F33*23.8/NOMINATIVI!$H$36,F33*23.8/NOMINATIVI!$H$35),4)</f>
        <v>28.4637</v>
      </c>
      <c r="H33" s="20" t="n">
        <f aca="false">TRUNC(J33*8.5/100,3)</f>
        <v>10.166</v>
      </c>
      <c r="I33" s="20" t="n">
        <f aca="false">TRUNC(IF(COUNTIF(NOMINATIVI!$S$5:$S$28,D33)&gt;0,F33*NOMINATIVI!$K$36/NOMINATIVI!$H$36,F33*NOMINATIVI!$K$35/NOMINATIVI!$H$35),2)</f>
        <v>0.4</v>
      </c>
      <c r="J33" s="20" t="n">
        <f aca="false">F33-G33-I33</f>
        <v>119.60222</v>
      </c>
      <c r="M33" s="1" t="s">
        <v>64</v>
      </c>
      <c r="X33" s="96"/>
    </row>
    <row r="34" customFormat="false" ht="15" hidden="true" customHeight="false" outlineLevel="0" collapsed="false">
      <c r="C34" s="10" t="s">
        <v>65</v>
      </c>
      <c r="D34" s="98" t="str">
        <f aca="false">G9</f>
        <v>LEONE Luca</v>
      </c>
      <c r="E34" s="99"/>
      <c r="F34" s="20" t="n">
        <f aca="false">_xlfn.IFS($W$9=$X$9,E34*I9*0.9,$W$9=$X$10,E34*I9*0.7,$W$9=$X$11,E34*I9*0.5,$W$9=$X$12,E34*I9)</f>
        <v>0</v>
      </c>
      <c r="G34" s="20" t="n">
        <f aca="false">TRUNC(IF(COUNTIF(NOMINATIVI!$S$5:$S$28,D34)&gt;0,F34*23.8/NOMINATIVI!$H$36,F34*23.8/NOMINATIVI!$H$35),4)</f>
        <v>0</v>
      </c>
      <c r="H34" s="20" t="n">
        <f aca="false">TRUNC(J34*8.5/100,3)</f>
        <v>0</v>
      </c>
      <c r="I34" s="20" t="n">
        <f aca="false">TRUNC(IF(COUNTIF(NOMINATIVI!$S$5:$S$28,D34)&gt;0,F34*NOMINATIVI!$K$36/NOMINATIVI!$H$36,F34*NOMINATIVI!$K$35/NOMINATIVI!$H$35),2)</f>
        <v>0</v>
      </c>
      <c r="J34" s="20" t="n">
        <f aca="false">F34-G34-I34</f>
        <v>0</v>
      </c>
      <c r="X34" s="96"/>
    </row>
    <row r="35" customFormat="false" ht="15" hidden="true" customHeight="false" outlineLevel="0" collapsed="false">
      <c r="C35" s="100" t="s">
        <v>66</v>
      </c>
      <c r="D35" s="98" t="str">
        <f aca="false">G10</f>
        <v>TROIANI Claudia</v>
      </c>
      <c r="E35" s="99"/>
      <c r="F35" s="20" t="n">
        <f aca="false">_xlfn.IFS($W$9=$X$9,E35*I10*0.9,$W$9=$X$10,E35*I10*0.7,$W$9=$X$11,E35*I10*0.5,$W$9=$X$12,E35*I10)</f>
        <v>0</v>
      </c>
      <c r="G35" s="20" t="n">
        <f aca="false">TRUNC(IF(COUNTIF(NOMINATIVI!$S$5:$S$28,D35)&gt;0,F35*23.8/NOMINATIVI!$H$36,F35*23.8/NOMINATIVI!$H$35),4)</f>
        <v>0</v>
      </c>
      <c r="H35" s="20" t="n">
        <f aca="false">TRUNC(J35*8.5/100,3)</f>
        <v>0</v>
      </c>
      <c r="I35" s="20" t="n">
        <f aca="false">TRUNC(IF(COUNTIF(NOMINATIVI!$S$5:$S$28,D35)&gt;0,F35*NOMINATIVI!$K$36/NOMINATIVI!$H$36,F35*NOMINATIVI!$K$35/NOMINATIVI!$H$35),2)</f>
        <v>0</v>
      </c>
      <c r="J35" s="20" t="n">
        <f aca="false">F35-G35-I35</f>
        <v>0</v>
      </c>
      <c r="X35" s="96"/>
    </row>
    <row r="36" customFormat="false" ht="15" hidden="true" customHeight="false" outlineLevel="0" collapsed="false">
      <c r="C36" s="8" t="s">
        <v>29</v>
      </c>
      <c r="D36" s="98" t="str">
        <f aca="false">G11</f>
        <v>LEONE Luca</v>
      </c>
      <c r="E36" s="101" t="n">
        <v>1</v>
      </c>
      <c r="F36" s="20" t="n">
        <f aca="false">_xlfn.IFS($W$9=$X$9,E36*I11*0.9,$W$9=$X$10,E36*I11*0.7,$W$9=$X$11,E36*I11*0.5,$W$9=$X$12,E36*I11)</f>
        <v>64.5504</v>
      </c>
      <c r="G36" s="20" t="n">
        <f aca="false">TRUNC(IF(COUNTIF(NOMINATIVI!$S$5:$S$28,D36)&gt;0,F36*23.8/NOMINATIVI!$H$36,F36*23.8/NOMINATIVI!$H$35),4)</f>
        <v>12.3755</v>
      </c>
      <c r="H36" s="20" t="n">
        <f aca="false">TRUNC(J36*8.5/100,3)</f>
        <v>4.42</v>
      </c>
      <c r="I36" s="20" t="n">
        <f aca="false">TRUNC(IF(COUNTIF(NOMINATIVI!$S$5:$S$28,D36)&gt;0,F36*NOMINATIVI!$K$36/NOMINATIVI!$H$36,F36*NOMINATIVI!$K$35/NOMINATIVI!$H$35),2)</f>
        <v>0.17</v>
      </c>
      <c r="J36" s="20" t="n">
        <f aca="false">F36-G36-I36</f>
        <v>52.0049</v>
      </c>
      <c r="X36" s="96"/>
    </row>
    <row r="37" customFormat="false" ht="15" hidden="true" customHeight="false" outlineLevel="0" collapsed="false">
      <c r="C37" s="102" t="s">
        <v>33</v>
      </c>
      <c r="D37" s="98" t="str">
        <f aca="false">G12</f>
        <v>LEONE Luca</v>
      </c>
      <c r="E37" s="101" t="n">
        <v>0.3</v>
      </c>
      <c r="F37" s="20" t="n">
        <f aca="false">_xlfn.IFS($W$9=$X$9,0.3*I12*0.9,$W$9=$X$10,0.3*I12*0.7,$W$9=$X$11,0.3*I12*0.5,$W$9=$X$12,0.3*I12)</f>
        <v>38.73024</v>
      </c>
      <c r="G37" s="20" t="n">
        <f aca="false">TRUNC(IF(COUNTIF(NOMINATIVI!$S$5:$S$28,D37)&gt;0,F37*23.8/NOMINATIVI!$H$36,F37*23.8/NOMINATIVI!$H$35),4)</f>
        <v>7.4253</v>
      </c>
      <c r="H37" s="20" t="n">
        <f aca="false">TRUNC(J37*8.5/100,3)</f>
        <v>2.652</v>
      </c>
      <c r="I37" s="20" t="n">
        <f aca="false">TRUNC(IF(COUNTIF(NOMINATIVI!$S$5:$S$28,D37)&gt;0,F37*NOMINATIVI!$K$36/NOMINATIVI!$H$36,F37*NOMINATIVI!$K$35/NOMINATIVI!$H$35),2)</f>
        <v>0.1</v>
      </c>
      <c r="J37" s="20" t="n">
        <f aca="false">F37-G37-I37</f>
        <v>31.20494</v>
      </c>
      <c r="X37" s="96"/>
    </row>
    <row r="38" customFormat="false" ht="15" hidden="true" customHeight="false" outlineLevel="0" collapsed="false">
      <c r="C38" s="102"/>
      <c r="D38" s="98" t="str">
        <f aca="false">G13</f>
        <v>-</v>
      </c>
      <c r="E38" s="101"/>
      <c r="F38" s="20" t="n">
        <f aca="false">_xlfn.IFS($W$9=$X$9,0.3*I13*0.9,$W$9=$X$10,0.3*I13*0.7,$W$9=$X$11,0.3*I13*0.5,$W$9=$X$12,0.3*I13)</f>
        <v>0</v>
      </c>
      <c r="G38" s="20" t="n">
        <f aca="false">TRUNC(IF(COUNTIF(NOMINATIVI!$S$5:$S$28,D38)&gt;0,F38*23.8/NOMINATIVI!$H$36,F38*23.8/NOMINATIVI!$H$35),4)</f>
        <v>0</v>
      </c>
      <c r="H38" s="20" t="n">
        <f aca="false">TRUNC(J38*8.5/100,3)</f>
        <v>0</v>
      </c>
      <c r="I38" s="20" t="n">
        <f aca="false">TRUNC(IF(COUNTIF(NOMINATIVI!$S$5:$S$28,D38)&gt;0,F38*NOMINATIVI!$K$36/NOMINATIVI!$H$36,F38*NOMINATIVI!$K$35/NOMINATIVI!$H$35),2)</f>
        <v>0</v>
      </c>
      <c r="J38" s="20" t="n">
        <f aca="false">F38-G38-I38</f>
        <v>0</v>
      </c>
      <c r="X38" s="96"/>
    </row>
    <row r="39" customFormat="false" ht="15" hidden="true" customHeight="false" outlineLevel="0" collapsed="false">
      <c r="C39" s="102"/>
      <c r="D39" s="98" t="str">
        <f aca="false">G14</f>
        <v>-</v>
      </c>
      <c r="E39" s="101"/>
      <c r="F39" s="20" t="n">
        <f aca="false">_xlfn.IFS($W$9=$X$9,0.3*I14*0.9,$W$9=$X$10,0.3*I14*0.7,$W$9=$X$11,0.3*I14*0.5,$W$9=$X$12,0.3*I14)</f>
        <v>0</v>
      </c>
      <c r="G39" s="20" t="n">
        <f aca="false">TRUNC(IF(COUNTIF(NOMINATIVI!$S$5:$S$28,D39)&gt;0,F39*23.8/NOMINATIVI!$H$36,F39*23.8/NOMINATIVI!$H$35),4)</f>
        <v>0</v>
      </c>
      <c r="H39" s="20" t="n">
        <f aca="false">TRUNC(J39*8.5/100,3)</f>
        <v>0</v>
      </c>
      <c r="I39" s="20" t="n">
        <f aca="false">TRUNC(IF(COUNTIF(NOMINATIVI!$S$5:$S$28,D39)&gt;0,F39*NOMINATIVI!$K$36/NOMINATIVI!$H$36,F39*NOMINATIVI!$K$35/NOMINATIVI!$H$35),2)</f>
        <v>0</v>
      </c>
      <c r="J39" s="20" t="n">
        <f aca="false">F39-G39-I39</f>
        <v>0</v>
      </c>
      <c r="X39" s="96"/>
    </row>
    <row r="40" customFormat="false" ht="15" hidden="true" customHeight="false" outlineLevel="0" collapsed="false">
      <c r="C40" s="8" t="s">
        <v>40</v>
      </c>
      <c r="D40" s="98" t="str">
        <f aca="false">G15</f>
        <v>LEONE Luca</v>
      </c>
      <c r="E40" s="101" t="n">
        <v>0</v>
      </c>
      <c r="F40" s="20" t="n">
        <f aca="false">IF($W$9=$X$9,(I15*E40)*0.9,I15*E40)</f>
        <v>0</v>
      </c>
      <c r="G40" s="20" t="n">
        <f aca="false">TRUNC(IF(COUNTIF(NOMINATIVI!$S$5:$S$28,D40)&gt;0,F40*23.8/NOMINATIVI!$H$36,F40*23.8/NOMINATIVI!$H$35),4)</f>
        <v>0</v>
      </c>
      <c r="H40" s="20" t="n">
        <f aca="false">TRUNC(J40*8.5/100,3)</f>
        <v>0</v>
      </c>
      <c r="I40" s="20" t="n">
        <f aca="false">TRUNC(IF(COUNTIF(NOMINATIVI!$S$5:$S$28,D40)&gt;0,F40*NOMINATIVI!$K$36/NOMINATIVI!$H$36,F40*NOMINATIVI!$K$35/NOMINATIVI!$H$35),2)</f>
        <v>0</v>
      </c>
      <c r="J40" s="20" t="n">
        <f aca="false">F40-G40-I40</f>
        <v>0</v>
      </c>
      <c r="X40" s="96"/>
    </row>
    <row r="41" customFormat="false" ht="15" hidden="true" customHeight="false" outlineLevel="0" collapsed="false">
      <c r="C41" s="103" t="s">
        <v>67</v>
      </c>
      <c r="D41" s="98" t="str">
        <f aca="false">G16</f>
        <v>LEONE Luca</v>
      </c>
      <c r="E41" s="101" t="n">
        <v>0</v>
      </c>
      <c r="F41" s="20" t="n">
        <f aca="false">IF($W$9=$X$9,(I16*E41)*0.9,I16*E41)</f>
        <v>0</v>
      </c>
      <c r="G41" s="20" t="n">
        <f aca="false">TRUNC(IF(COUNTIF(NOMINATIVI!$S$5:$S$28,D41)&gt;0,F41*23.8/NOMINATIVI!$H$36,F41*23.8/NOMINATIVI!$H$35),4)</f>
        <v>0</v>
      </c>
      <c r="H41" s="20" t="n">
        <f aca="false">TRUNC(J41*8.5/100,3)</f>
        <v>0</v>
      </c>
      <c r="I41" s="20" t="n">
        <f aca="false">TRUNC(IF(COUNTIF(NOMINATIVI!$S$5:$S$28,D41)&gt;0,F41*NOMINATIVI!$K$36/NOMINATIVI!$H$36,F41*NOMINATIVI!$K$35/NOMINATIVI!$H$35),2)</f>
        <v>0</v>
      </c>
      <c r="J41" s="20" t="n">
        <f aca="false">F41-G41-I41</f>
        <v>0</v>
      </c>
      <c r="X41" s="96"/>
    </row>
    <row r="42" customFormat="false" ht="15" hidden="true" customHeight="false" outlineLevel="0" collapsed="false">
      <c r="C42" s="103"/>
      <c r="D42" s="98" t="str">
        <f aca="false">G17</f>
        <v>LEONE Luca</v>
      </c>
      <c r="E42" s="101"/>
      <c r="F42" s="20" t="n">
        <f aca="false">IF($W$9=$X$9,(I17*E42)*0.9,I17*E42)</f>
        <v>0</v>
      </c>
      <c r="G42" s="20" t="n">
        <f aca="false">TRUNC(IF(COUNTIF(NOMINATIVI!$S$5:$S$28,D42)&gt;0,F42*23.8/NOMINATIVI!$H$36,F42*23.8/NOMINATIVI!$H$35),4)</f>
        <v>0</v>
      </c>
      <c r="H42" s="20" t="n">
        <f aca="false">TRUNC(J42*8.5/100,3)</f>
        <v>0</v>
      </c>
      <c r="I42" s="20" t="n">
        <f aca="false">TRUNC(IF(COUNTIF(NOMINATIVI!$S$5:$S$28,D42)&gt;0,F42*NOMINATIVI!$K$36/NOMINATIVI!$H$36,F42*NOMINATIVI!$K$35/NOMINATIVI!$H$35),2)</f>
        <v>0</v>
      </c>
      <c r="J42" s="20" t="n">
        <f aca="false">F42-G42-I42</f>
        <v>0</v>
      </c>
      <c r="X42" s="96"/>
    </row>
    <row r="43" customFormat="false" ht="15" hidden="true" customHeight="false" outlineLevel="0" collapsed="false">
      <c r="C43" s="103"/>
      <c r="D43" s="98"/>
      <c r="E43" s="101"/>
      <c r="F43" s="20" t="n">
        <f aca="false">IF($W$9=$X$9,(I18*E43)*0.9,I18*E43)</f>
        <v>0</v>
      </c>
      <c r="G43" s="20" t="n">
        <f aca="false">TRUNC(IF(COUNTIF(NOMINATIVI!$S$5:$S$28,D43)&gt;0,F43*23.8/NOMINATIVI!$H$36,F43*23.8/NOMINATIVI!$H$35),4)</f>
        <v>0</v>
      </c>
      <c r="H43" s="20" t="n">
        <f aca="false">TRUNC(J43*8.5/100,3)</f>
        <v>0</v>
      </c>
      <c r="I43" s="20" t="n">
        <f aca="false">TRUNC(IF(COUNTIF(NOMINATIVI!$S$5:$S$28,D43)&gt;0,F43*NOMINATIVI!$K$36/NOMINATIVI!$H$36,F43*NOMINATIVI!$K$35/NOMINATIVI!$H$35),2)</f>
        <v>0</v>
      </c>
      <c r="J43" s="20" t="n">
        <f aca="false">F43-G43-I43</f>
        <v>0</v>
      </c>
      <c r="X43" s="96"/>
    </row>
    <row r="44" customFormat="false" ht="15" hidden="true" customHeight="false" outlineLevel="0" collapsed="false">
      <c r="C44" s="103"/>
      <c r="D44" s="98"/>
      <c r="E44" s="101"/>
      <c r="F44" s="20" t="n">
        <f aca="false">IF($W$9=$X$9,(I19*E44)*0.9,I19*E44)</f>
        <v>0</v>
      </c>
      <c r="G44" s="20" t="n">
        <f aca="false">TRUNC(IF(COUNTIF(NOMINATIVI!$S$5:$S$28,D44)&gt;0,F44*23.8/NOMINATIVI!$H$36,F44*23.8/NOMINATIVI!$H$35),4)</f>
        <v>0</v>
      </c>
      <c r="H44" s="20" t="n">
        <f aca="false">TRUNC(J44*8.5/100,3)</f>
        <v>0</v>
      </c>
      <c r="I44" s="20" t="n">
        <f aca="false">TRUNC(IF(COUNTIF(NOMINATIVI!$S$5:$S$28,D44)&gt;0,F44*NOMINATIVI!$K$36/NOMINATIVI!$H$36,F44*NOMINATIVI!$K$35/NOMINATIVI!$H$35),2)</f>
        <v>0</v>
      </c>
      <c r="J44" s="20" t="n">
        <f aca="false">F44-G44-I44</f>
        <v>0</v>
      </c>
      <c r="X44" s="96"/>
    </row>
    <row r="45" customFormat="false" ht="15" hidden="true" customHeight="false" outlineLevel="0" collapsed="false">
      <c r="C45" s="103"/>
      <c r="D45" s="98" t="str">
        <f aca="false">G19</f>
        <v>TROIANI Claudia</v>
      </c>
      <c r="E45" s="101"/>
      <c r="F45" s="20" t="n">
        <f aca="false">IF($W$9=$X$9,(I20*E45)*0.9,I20*E45)</f>
        <v>0</v>
      </c>
      <c r="G45" s="20" t="n">
        <f aca="false">TRUNC(IF(COUNTIF(NOMINATIVI!$S$5:$S$28,D45)&gt;0,F45*23.8/NOMINATIVI!$H$36,F45*23.8/NOMINATIVI!$H$35),4)</f>
        <v>0</v>
      </c>
      <c r="H45" s="20" t="n">
        <f aca="false">TRUNC(J45*8.5/100,3)</f>
        <v>0</v>
      </c>
      <c r="I45" s="20" t="n">
        <f aca="false">TRUNC(IF(COUNTIF(NOMINATIVI!$S$5:$S$28,D45)&gt;0,F45*NOMINATIVI!$K$36/NOMINATIVI!$H$36,F45*NOMINATIVI!$K$35/NOMINATIVI!$H$35),2)</f>
        <v>0</v>
      </c>
      <c r="J45" s="20" t="n">
        <f aca="false">F45-G45-I45</f>
        <v>0</v>
      </c>
      <c r="X45" s="96"/>
    </row>
    <row r="46" customFormat="false" ht="15" hidden="true" customHeight="false" outlineLevel="0" collapsed="false">
      <c r="C46" s="97" t="s">
        <v>50</v>
      </c>
      <c r="D46" s="98" t="str">
        <f aca="false">G21</f>
        <v>LOIACONO Graziana</v>
      </c>
      <c r="E46" s="101" t="n">
        <v>0</v>
      </c>
      <c r="F46" s="20" t="n">
        <f aca="false">IF($W$9=$X$9,(I21*E46)*0.9,I21*E46)</f>
        <v>0</v>
      </c>
      <c r="G46" s="20" t="n">
        <f aca="false">TRUNC(IF(COUNTIF(NOMINATIVI!$S$5:$S$28,D46)&gt;0,F46*23.8/NOMINATIVI!$H$36,F46*23.8/NOMINATIVI!$H$35),4)</f>
        <v>0</v>
      </c>
      <c r="H46" s="20" t="n">
        <f aca="false">TRUNC(J46*8.5/100,3)</f>
        <v>0</v>
      </c>
      <c r="I46" s="20" t="n">
        <f aca="false">TRUNC(IF(COUNTIF(NOMINATIVI!$S$5:$S$28,D46)&gt;0,F46*NOMINATIVI!$K$36/NOMINATIVI!$H$36,F46*NOMINATIVI!$K$35/NOMINATIVI!$H$35),2)</f>
        <v>0</v>
      </c>
      <c r="J46" s="20" t="n">
        <f aca="false">F46-G46-I46</f>
        <v>0</v>
      </c>
      <c r="X46" s="96"/>
    </row>
    <row r="47" customFormat="false" ht="15" hidden="true" customHeight="false" outlineLevel="0" collapsed="false">
      <c r="C47" s="84" t="s">
        <v>68</v>
      </c>
      <c r="D47" s="98" t="str">
        <f aca="false">G22</f>
        <v>-</v>
      </c>
      <c r="E47" s="101"/>
      <c r="F47" s="20" t="n">
        <f aca="false">IF($W$9=$X$9,(I22*E47)*0.9,I22*E47)</f>
        <v>0</v>
      </c>
      <c r="G47" s="20" t="n">
        <f aca="false">TRUNC(IF(COUNTIF(NOMINATIVI!$S$5:$S$28,D47)&gt;0,F47*23.8/NOMINATIVI!$H$36,F47*23.8/NOMINATIVI!$H$35),4)</f>
        <v>0</v>
      </c>
      <c r="H47" s="20" t="n">
        <f aca="false">TRUNC(J47*8.5/100,3)</f>
        <v>0</v>
      </c>
      <c r="I47" s="20" t="n">
        <f aca="false">TRUNC(IF(COUNTIF(NOMINATIVI!$S$5:$S$28,D47)&gt;0,F47*NOMINATIVI!$K$36/NOMINATIVI!$H$36,F47*NOMINATIVI!$K$35/NOMINATIVI!$H$35),2)</f>
        <v>0</v>
      </c>
      <c r="J47" s="20" t="n">
        <f aca="false">F47-G47-I47</f>
        <v>0</v>
      </c>
      <c r="X47" s="96"/>
    </row>
    <row r="48" customFormat="false" ht="15" hidden="true" customHeight="false" outlineLevel="0" collapsed="false">
      <c r="C48" s="84" t="s">
        <v>68</v>
      </c>
      <c r="D48" s="104" t="str">
        <f aca="false">G23</f>
        <v>-</v>
      </c>
      <c r="E48" s="101"/>
      <c r="F48" s="20" t="n">
        <f aca="false">IF($W$9=$X$9,(I23*E48)*0.9,I23*E48)</f>
        <v>0</v>
      </c>
      <c r="G48" s="20" t="n">
        <f aca="false">TRUNC(IF(COUNTIF(NOMINATIVI!$S$5:$S$28,D48)&gt;0,F48*23.8/NOMINATIVI!$H$36,F48*23.8/NOMINATIVI!$H$35),4)</f>
        <v>0</v>
      </c>
      <c r="H48" s="20" t="n">
        <f aca="false">TRUNC(J48*8.5/100,3)</f>
        <v>0</v>
      </c>
      <c r="I48" s="20" t="n">
        <f aca="false">TRUNC(IF(COUNTIF(NOMINATIVI!$S$5:$S$28,D48)&gt;0,F48*NOMINATIVI!$K$36/NOMINATIVI!$H$36,F48*NOMINATIVI!$K$35/NOMINATIVI!$H$35),2)</f>
        <v>0</v>
      </c>
      <c r="J48" s="20" t="n">
        <f aca="false">F48-G48-I48</f>
        <v>0</v>
      </c>
      <c r="X48" s="96"/>
    </row>
    <row r="49" customFormat="false" ht="15" hidden="true" customHeight="false" outlineLevel="0" collapsed="false">
      <c r="C49" s="10" t="s">
        <v>69</v>
      </c>
      <c r="D49" s="104" t="str">
        <f aca="false">G24</f>
        <v>-</v>
      </c>
      <c r="E49" s="101"/>
      <c r="F49" s="20" t="n">
        <f aca="false">IF($W$9=$X$9,(I24*E49)*0.9,I24*E49)</f>
        <v>0</v>
      </c>
      <c r="G49" s="20" t="n">
        <f aca="false">TRUNC(IF(COUNTIF(NOMINATIVI!$S$5:$S$28,D49)&gt;0,F49*23.8/NOMINATIVI!$H$36,F49*23.8/NOMINATIVI!$H$35),4)</f>
        <v>0</v>
      </c>
      <c r="H49" s="20" t="n">
        <f aca="false">TRUNC(J49*8.5/100,3)</f>
        <v>0</v>
      </c>
      <c r="I49" s="20" t="n">
        <f aca="false">TRUNC(IF(COUNTIF(NOMINATIVI!$S$5:$S$28,D49)&gt;0,F49*NOMINATIVI!$K$36/NOMINATIVI!$H$36,F49*NOMINATIVI!$K$35/NOMINATIVI!$H$35),2)</f>
        <v>0</v>
      </c>
      <c r="J49" s="20" t="n">
        <f aca="false">F49-G49-I49</f>
        <v>0</v>
      </c>
      <c r="X49" s="96"/>
    </row>
    <row r="50" customFormat="false" ht="15" hidden="true" customHeight="false" outlineLevel="0" collapsed="false">
      <c r="C50" s="103" t="s">
        <v>55</v>
      </c>
      <c r="D50" s="98" t="str">
        <f aca="false">G25</f>
        <v>TROIANI Claudia</v>
      </c>
      <c r="E50" s="101" t="n">
        <v>0.2</v>
      </c>
      <c r="F50" s="20" t="n">
        <f aca="false">_xlfn.IFS($W$9=$X$9,E50*I25*0.9,$W$9=$X$10,E50*I25*0.7,$W$9=$X$11,E50*I25*0.5,$W$9=$X$12,E50*I25)</f>
        <v>25.82016</v>
      </c>
      <c r="G50" s="20" t="n">
        <f aca="false">TRUNC(IF(COUNTIF(NOMINATIVI!$S$5:$S$28,D50)&gt;0,F50*23.8/NOMINATIVI!$H$36,F50*23.8/NOMINATIVI!$H$35),4)</f>
        <v>4.9502</v>
      </c>
      <c r="H50" s="20" t="n">
        <f aca="false">TRUNC(J50*8.5/100,3)</f>
        <v>1.767</v>
      </c>
      <c r="I50" s="20" t="n">
        <f aca="false">TRUNC(IF(COUNTIF(NOMINATIVI!$S$5:$S$28,D50)&gt;0,F50*NOMINATIVI!$K$36/NOMINATIVI!$H$36,F50*NOMINATIVI!$K$35/NOMINATIVI!$H$35),2)</f>
        <v>0.07</v>
      </c>
      <c r="J50" s="20" t="n">
        <f aca="false">F50-G50-I50</f>
        <v>20.79996</v>
      </c>
      <c r="X50" s="96"/>
    </row>
    <row r="51" customFormat="false" ht="15" hidden="true" customHeight="false" outlineLevel="0" collapsed="false">
      <c r="C51" s="103"/>
      <c r="D51" s="98" t="str">
        <f aca="false">G26</f>
        <v>-</v>
      </c>
      <c r="E51" s="101"/>
      <c r="F51" s="20" t="n">
        <f aca="false">_xlfn.IFS($W$9=$X$9,0.2*I26*0.9,$W$9=$X$10,0.2*I26*0.7,$W$9=$X$11,0.2*I26*0.5,$W$9=$X$12,0.2*I26)</f>
        <v>0</v>
      </c>
      <c r="G51" s="20" t="n">
        <f aca="false">TRUNC(IF(COUNTIF(NOMINATIVI!$S$5:$S$28,D51)&gt;0,F51*23.8/NOMINATIVI!$H$36,F51*23.8/NOMINATIVI!$H$35),4)</f>
        <v>0</v>
      </c>
      <c r="H51" s="20" t="n">
        <f aca="false">TRUNC(J51*8.5/100,3)</f>
        <v>0</v>
      </c>
      <c r="I51" s="20" t="n">
        <f aca="false">TRUNC(IF(COUNTIF(NOMINATIVI!$S$5:$S$28,D51)&gt;0,F51*NOMINATIVI!$K$36/NOMINATIVI!$H$36,F51*NOMINATIVI!$K$35/NOMINATIVI!$H$35),2)</f>
        <v>0</v>
      </c>
      <c r="J51" s="20" t="n">
        <f aca="false">F51-G51-I51</f>
        <v>0</v>
      </c>
      <c r="X51" s="96"/>
    </row>
    <row r="52" customFormat="false" ht="15" hidden="true" customHeight="false" outlineLevel="0" collapsed="false">
      <c r="C52" s="103"/>
      <c r="D52" s="98" t="str">
        <f aca="false">G27</f>
        <v>-</v>
      </c>
      <c r="E52" s="101"/>
      <c r="F52" s="20" t="n">
        <f aca="false">_xlfn.IFS($W$9=$X$9,0.2*I27*0.9,$W$9=$X$10,0.2*I27*0.7,$W$9=$X$11,0.2*I27*0.5,$W$9=$X$12,0.2*I27)</f>
        <v>0</v>
      </c>
      <c r="G52" s="20" t="n">
        <f aca="false">TRUNC(IF(COUNTIF(NOMINATIVI!$S$5:$S$28,D52)&gt;0,F52*23.8/NOMINATIVI!$H$36,F52*23.8/NOMINATIVI!$H$35),4)</f>
        <v>0</v>
      </c>
      <c r="H52" s="20" t="n">
        <f aca="false">TRUNC(J52*8.5/100,3)</f>
        <v>0</v>
      </c>
      <c r="I52" s="20" t="n">
        <f aca="false">TRUNC(IF(COUNTIF(NOMINATIVI!$S$5:$S$28,D52)&gt;0,F52*NOMINATIVI!$K$36/NOMINATIVI!$H$36,F52*NOMINATIVI!$K$35/NOMINATIVI!$H$35),2)</f>
        <v>0</v>
      </c>
      <c r="J52" s="20" t="n">
        <f aca="false">F52-G52-I52</f>
        <v>0</v>
      </c>
      <c r="X52" s="96"/>
    </row>
    <row r="53" customFormat="false" ht="15" hidden="true" customHeight="false" outlineLevel="0" collapsed="false">
      <c r="W53" s="96"/>
      <c r="X53" s="96"/>
    </row>
    <row r="54" customFormat="false" ht="15" hidden="true" customHeight="true" outlineLevel="0" collapsed="false">
      <c r="C54" s="105" t="s">
        <v>70</v>
      </c>
      <c r="D54" s="105"/>
      <c r="E54" s="105"/>
      <c r="F54" s="105"/>
      <c r="G54" s="105"/>
      <c r="H54" s="105"/>
      <c r="I54" s="105"/>
      <c r="J54" s="105"/>
      <c r="X54" s="96"/>
    </row>
    <row r="55" customFormat="false" ht="15" hidden="true" customHeight="false" outlineLevel="0" collapsed="false">
      <c r="C55" s="80" t="s">
        <v>7</v>
      </c>
      <c r="D55" s="80" t="s">
        <v>58</v>
      </c>
      <c r="E55" s="80" t="s">
        <v>59</v>
      </c>
      <c r="F55" s="80" t="s">
        <v>10</v>
      </c>
      <c r="G55" s="80" t="s">
        <v>60</v>
      </c>
      <c r="H55" s="80" t="s">
        <v>61</v>
      </c>
      <c r="I55" s="80" t="s">
        <v>62</v>
      </c>
      <c r="J55" s="14" t="s">
        <v>63</v>
      </c>
      <c r="X55" s="96"/>
    </row>
    <row r="56" customFormat="false" ht="15" hidden="true" customHeight="false" outlineLevel="0" collapsed="false">
      <c r="C56" s="97" t="s">
        <v>14</v>
      </c>
      <c r="D56" s="98" t="str">
        <f aca="false">G8</f>
        <v>LEONE Luca</v>
      </c>
      <c r="E56" s="106" t="n">
        <v>0.3</v>
      </c>
      <c r="F56" s="20" t="n">
        <f aca="false">_xlfn.IFS($W$11=$X$9,E56*I8*0.9,$W$11=$X$10,E56*I8*0.7,$W$11=$X$11,E56*I8*0.5,$W$11=$X$12,E56*I8)</f>
        <v>89.079552</v>
      </c>
      <c r="G56" s="20" t="n">
        <f aca="false">TRUNC(IF(COUNTIF(NOMINATIVI!$S$5:$S$28,D56)&gt;0,F56*23.8/NOMINATIVI!$H$36,F56*23.8/NOMINATIVI!$H$35),4)</f>
        <v>17.0782</v>
      </c>
      <c r="H56" s="20" t="n">
        <f aca="false">TRUNC(J56*8.5/100,3)</f>
        <v>6.099</v>
      </c>
      <c r="I56" s="20" t="n">
        <f aca="false">TRUNC(IF(COUNTIF(NOMINATIVI!$S$5:$S$28,D56)&gt;0,F56*NOMINATIVI!$K$36/NOMINATIVI!$H$36,F56*NOMINATIVI!$K$35/NOMINATIVI!$H$35),2)</f>
        <v>0.24</v>
      </c>
      <c r="J56" s="20" t="n">
        <f aca="false">F56-G56-I56</f>
        <v>71.761352</v>
      </c>
      <c r="X56" s="96"/>
    </row>
    <row r="57" customFormat="false" ht="15" hidden="true" customHeight="false" outlineLevel="0" collapsed="false">
      <c r="C57" s="10" t="s">
        <v>65</v>
      </c>
      <c r="D57" s="98" t="str">
        <f aca="false">G9</f>
        <v>LEONE Luca</v>
      </c>
      <c r="E57" s="107" t="n">
        <v>1</v>
      </c>
      <c r="F57" s="20" t="n">
        <f aca="false">_xlfn.IFS($W$11=$X$9,1*I9*0.9,$W$11=$X$10,1*I9*0.7,$W$11=$X$11,1*I9*0.5,$W$11=$X$12,1*I9)</f>
        <v>25.82016</v>
      </c>
      <c r="G57" s="20" t="n">
        <f aca="false">TRUNC(IF(COUNTIF(NOMINATIVI!$S$5:$S$28,D57)&gt;0,F57*23.8/NOMINATIVI!$H$36,F57*23.8/NOMINATIVI!$H$35),4)</f>
        <v>4.9502</v>
      </c>
      <c r="H57" s="20" t="n">
        <f aca="false">TRUNC(J57*8.5/100,3)</f>
        <v>1.767</v>
      </c>
      <c r="I57" s="20" t="n">
        <f aca="false">TRUNC(IF(COUNTIF(NOMINATIVI!$S$5:$S$28,D57)&gt;0,F57*NOMINATIVI!$K$36/NOMINATIVI!$H$36,F57*NOMINATIVI!$K$35/NOMINATIVI!$H$35),2)</f>
        <v>0.07</v>
      </c>
      <c r="J57" s="20" t="n">
        <f aca="false">F57-G57-I57</f>
        <v>20.79996</v>
      </c>
      <c r="X57" s="96"/>
    </row>
    <row r="58" customFormat="false" ht="15" hidden="true" customHeight="false" outlineLevel="0" collapsed="false">
      <c r="C58" s="100" t="s">
        <v>66</v>
      </c>
      <c r="D58" s="98" t="str">
        <f aca="false">G10</f>
        <v>TROIANI Claudia</v>
      </c>
      <c r="E58" s="108"/>
      <c r="F58" s="20" t="n">
        <f aca="false">_xlfn.IFS($W$11=$X$9,0*I10*0.9,$W$11=$X$10,0*I10*0.7,$W$11=$X$11,0*I10*0.5,$W$11=$X$12,0*I10)</f>
        <v>0</v>
      </c>
      <c r="G58" s="20" t="n">
        <f aca="false">TRUNC(IF(COUNTIF(NOMINATIVI!$S$5:$S$28,D58)&gt;0,F58*23.8/NOMINATIVI!$H$36,F58*23.8/NOMINATIVI!$H$35),4)</f>
        <v>0</v>
      </c>
      <c r="H58" s="20" t="n">
        <f aca="false">TRUNC(J58*8.5/100,3)</f>
        <v>0</v>
      </c>
      <c r="I58" s="20" t="n">
        <f aca="false">TRUNC(IF(COUNTIF(NOMINATIVI!$S$5:$S$28,D58)&gt;0,F58*NOMINATIVI!$K$36/NOMINATIVI!$H$36,F58*NOMINATIVI!$K$35/NOMINATIVI!$H$35),2)</f>
        <v>0</v>
      </c>
      <c r="J58" s="20" t="n">
        <f aca="false">F58-G58-I58</f>
        <v>0</v>
      </c>
      <c r="X58" s="96"/>
    </row>
    <row r="59" customFormat="false" ht="15" hidden="true" customHeight="false" outlineLevel="0" collapsed="false">
      <c r="C59" s="8" t="s">
        <v>29</v>
      </c>
      <c r="D59" s="98" t="str">
        <f aca="false">G11</f>
        <v>LEONE Luca</v>
      </c>
      <c r="E59" s="101" t="n">
        <v>0</v>
      </c>
      <c r="F59" s="20" t="n">
        <f aca="false">_xlfn.IFS($W$11=$X$9,0*I11*0.9,$W$11=$X$10,0*I11*0.7,$W$11=$X$11,0*I11*0.5,$W$11=$X$12,0*I11)</f>
        <v>0</v>
      </c>
      <c r="G59" s="20" t="n">
        <f aca="false">TRUNC(IF(COUNTIF(NOMINATIVI!$S$5:$S$28,D59)&gt;0,F59*23.8/NOMINATIVI!$H$36,F59*23.8/NOMINATIVI!$H$35),4)</f>
        <v>0</v>
      </c>
      <c r="H59" s="20" t="n">
        <f aca="false">TRUNC(J59*8.5/100,3)</f>
        <v>0</v>
      </c>
      <c r="I59" s="20" t="n">
        <f aca="false">TRUNC(IF(COUNTIF(NOMINATIVI!$S$5:$S$28,D59)&gt;0,F59*NOMINATIVI!$K$36/NOMINATIVI!$H$36,F59*NOMINATIVI!$K$35/NOMINATIVI!$H$35),2)</f>
        <v>0</v>
      </c>
      <c r="J59" s="20" t="n">
        <f aca="false">F59-G59-I59</f>
        <v>0</v>
      </c>
      <c r="X59" s="96"/>
    </row>
    <row r="60" customFormat="false" ht="15" hidden="true" customHeight="false" outlineLevel="0" collapsed="false">
      <c r="C60" s="102" t="s">
        <v>33</v>
      </c>
      <c r="D60" s="98" t="str">
        <f aca="false">G12</f>
        <v>LEONE Luca</v>
      </c>
      <c r="E60" s="109" t="n">
        <v>0.7</v>
      </c>
      <c r="F60" s="20" t="n">
        <f aca="false">_xlfn.IFS($W$11=$X$9,E60*I12*0.9,$W$11=$X$10,E60*I12*0.7,$W$11=$X$11,E60*I12*0.5,$W$11=$X$12,E60*I12)</f>
        <v>90.37056</v>
      </c>
      <c r="G60" s="20" t="n">
        <f aca="false">TRUNC(IF(COUNTIF(NOMINATIVI!$S$5:$S$28,D60)&gt;0,F60*23.8/NOMINATIVI!$H$36,F60*23.8/NOMINATIVI!$H$35),4)</f>
        <v>17.3257</v>
      </c>
      <c r="H60" s="20" t="n">
        <f aca="false">TRUNC(J60*8.5/100,3)</f>
        <v>6.188</v>
      </c>
      <c r="I60" s="20" t="n">
        <f aca="false">TRUNC(IF(COUNTIF(NOMINATIVI!$S$5:$S$28,D60)&gt;0,F60*NOMINATIVI!$K$36/NOMINATIVI!$H$36,F60*NOMINATIVI!$K$35/NOMINATIVI!$H$35),2)</f>
        <v>0.24</v>
      </c>
      <c r="J60" s="20" t="n">
        <f aca="false">F60-G60-I60</f>
        <v>72.80486</v>
      </c>
      <c r="X60" s="96"/>
    </row>
    <row r="61" customFormat="false" ht="15" hidden="true" customHeight="false" outlineLevel="0" collapsed="false">
      <c r="C61" s="102"/>
      <c r="D61" s="98" t="str">
        <f aca="false">G13</f>
        <v>-</v>
      </c>
      <c r="E61" s="109"/>
      <c r="F61" s="20" t="n">
        <f aca="false">_xlfn.IFS($W$11=$X$9,0.7*I13*0.9,$W$11=$X$10,0.7*I13*0.7,$W$11=$X$11,0.7*I13*0.5,$W$11=$X$12,0.7*I13)</f>
        <v>0</v>
      </c>
      <c r="G61" s="20" t="n">
        <f aca="false">TRUNC(IF(COUNTIF(NOMINATIVI!$S$5:$S$28,D61)&gt;0,F61*23.8/NOMINATIVI!$H$36,F61*23.8/NOMINATIVI!$H$35),4)</f>
        <v>0</v>
      </c>
      <c r="H61" s="20" t="n">
        <f aca="false">TRUNC(J61*8.5/100,3)</f>
        <v>0</v>
      </c>
      <c r="I61" s="20" t="n">
        <f aca="false">TRUNC(IF(COUNTIF(NOMINATIVI!$S$5:$S$28,D61)&gt;0,F61*NOMINATIVI!$K$36/NOMINATIVI!$H$36,F61*NOMINATIVI!$K$35/NOMINATIVI!$H$35),2)</f>
        <v>0</v>
      </c>
      <c r="J61" s="20" t="n">
        <f aca="false">F61-G61-I61</f>
        <v>0</v>
      </c>
      <c r="X61" s="96"/>
    </row>
    <row r="62" customFormat="false" ht="15" hidden="true" customHeight="false" outlineLevel="0" collapsed="false">
      <c r="C62" s="102"/>
      <c r="D62" s="98" t="str">
        <f aca="false">G14</f>
        <v>-</v>
      </c>
      <c r="E62" s="109"/>
      <c r="F62" s="20" t="n">
        <f aca="false">_xlfn.IFS($W$11=$X$9,0.7*I14*0.9,$W$11=$X$10,0.7*I14*0.7,$W$11=$X$11,0.7*I14*0.5,$W$11=$X$12,0.7*I14)</f>
        <v>0</v>
      </c>
      <c r="G62" s="20" t="n">
        <f aca="false">TRUNC(IF(COUNTIF(NOMINATIVI!$S$5:$S$28,D62)&gt;0,F62*23.8/NOMINATIVI!$H$36,F62*23.8/NOMINATIVI!$H$35),4)</f>
        <v>0</v>
      </c>
      <c r="H62" s="20" t="n">
        <f aca="false">TRUNC(J62*8.5/100,3)</f>
        <v>0</v>
      </c>
      <c r="I62" s="20" t="n">
        <f aca="false">TRUNC(IF(COUNTIF(NOMINATIVI!$S$5:$S$28,D62)&gt;0,F62*NOMINATIVI!$K$36/NOMINATIVI!$H$36,F62*NOMINATIVI!$K$35/NOMINATIVI!$H$35),2)</f>
        <v>0</v>
      </c>
      <c r="J62" s="20" t="n">
        <f aca="false">F62-G62-I62</f>
        <v>0</v>
      </c>
      <c r="X62" s="96"/>
    </row>
    <row r="63" customFormat="false" ht="15" hidden="true" customHeight="false" outlineLevel="0" collapsed="false">
      <c r="C63" s="8" t="s">
        <v>40</v>
      </c>
      <c r="D63" s="98" t="str">
        <f aca="false">G15</f>
        <v>LEONE Luca</v>
      </c>
      <c r="E63" s="101" t="n">
        <v>1</v>
      </c>
      <c r="F63" s="20" t="n">
        <f aca="false">_xlfn.IFS($W$11=$X$9,1*I15*0.9,$W$11=$X$10,1*I15*0.7,$W$11=$X$11,1*I15*0.5,$W$11=$X$12,1*I15)</f>
        <v>58.09536</v>
      </c>
      <c r="G63" s="20" t="n">
        <f aca="false">TRUNC(IF(COUNTIF(NOMINATIVI!$S$5:$S$28,D63)&gt;0,F63*23.8/NOMINATIVI!$H$36,F63*23.8/NOMINATIVI!$H$35),4)</f>
        <v>11.1379</v>
      </c>
      <c r="H63" s="20" t="n">
        <f aca="false">TRUNC(J63*8.5/100,3)</f>
        <v>3.978</v>
      </c>
      <c r="I63" s="20" t="n">
        <f aca="false">TRUNC(IF(COUNTIF(NOMINATIVI!$S$5:$S$28,D63)&gt;0,F63*NOMINATIVI!$K$36/NOMINATIVI!$H$36,F63*NOMINATIVI!$K$35/NOMINATIVI!$H$35),2)</f>
        <v>0.15</v>
      </c>
      <c r="J63" s="20" t="n">
        <f aca="false">F63-G63-I63</f>
        <v>46.80746</v>
      </c>
      <c r="X63" s="96"/>
    </row>
    <row r="64" customFormat="false" ht="15" hidden="true" customHeight="false" outlineLevel="0" collapsed="false">
      <c r="C64" s="103" t="s">
        <v>67</v>
      </c>
      <c r="D64" s="98" t="str">
        <f aca="false">G16</f>
        <v>LEONE Luca</v>
      </c>
      <c r="E64" s="101" t="n">
        <v>1</v>
      </c>
      <c r="F64" s="20" t="n">
        <f aca="false">_xlfn.IFS($W$11=$X$9,E64*I16*0.9,$W$11=$X$10,E64*I16*0.7,$W$11=$X$11,E64*I16*0.5,$W$11=$X$12,E64*I16)</f>
        <v>69.714432</v>
      </c>
      <c r="G64" s="20" t="n">
        <f aca="false">TRUNC(IF(COUNTIF(NOMINATIVI!$S$5:$S$28,D64)&gt;0,F64*23.8/NOMINATIVI!$H$36,F64*23.8/NOMINATIVI!$H$35),4)</f>
        <v>13.3655</v>
      </c>
      <c r="H64" s="20" t="n">
        <f aca="false">TRUNC(J64*8.5/100,3)</f>
        <v>4.773</v>
      </c>
      <c r="I64" s="20" t="n">
        <f aca="false">TRUNC(IF(COUNTIF(NOMINATIVI!$S$5:$S$28,D64)&gt;0,F64*NOMINATIVI!$K$36/NOMINATIVI!$H$36,F64*NOMINATIVI!$K$35/NOMINATIVI!$H$35),2)</f>
        <v>0.19</v>
      </c>
      <c r="J64" s="20" t="n">
        <f aca="false">F64-G64-I64</f>
        <v>56.158932</v>
      </c>
      <c r="X64" s="96"/>
    </row>
    <row r="65" customFormat="false" ht="15" hidden="true" customHeight="false" outlineLevel="0" collapsed="false">
      <c r="C65" s="103"/>
      <c r="D65" s="98" t="str">
        <f aca="false">G17</f>
        <v>LEONE Luca</v>
      </c>
      <c r="E65" s="101"/>
      <c r="F65" s="20" t="n">
        <f aca="false">_xlfn.IFS($W$11=$X$9,E64*I17*0.9,$W$11=$X$10,E64*I17*0.7,$W$11=$X$11,E64*I17*0.5,$W$11=$X$12,E64*I17)</f>
        <v>58.09536</v>
      </c>
      <c r="G65" s="20" t="n">
        <f aca="false">TRUNC(IF(COUNTIF(NOMINATIVI!$S$5:$S$28,D65)&gt;0,F65*23.8/NOMINATIVI!$H$36,F65*23.8/NOMINATIVI!$H$35),4)</f>
        <v>11.1379</v>
      </c>
      <c r="H65" s="20" t="n">
        <f aca="false">TRUNC(J65*8.5/100,3)</f>
        <v>3.978</v>
      </c>
      <c r="I65" s="20" t="n">
        <f aca="false">TRUNC(IF(COUNTIF(NOMINATIVI!$S$5:$S$28,D65)&gt;0,F65*NOMINATIVI!$K$36/NOMINATIVI!$H$36,F65*NOMINATIVI!$K$35/NOMINATIVI!$H$35),2)</f>
        <v>0.15</v>
      </c>
      <c r="J65" s="20" t="n">
        <f aca="false">F65-G65-I65</f>
        <v>46.80746</v>
      </c>
      <c r="X65" s="96"/>
    </row>
    <row r="66" customFormat="false" ht="15" hidden="true" customHeight="false" outlineLevel="0" collapsed="false">
      <c r="C66" s="103"/>
      <c r="D66" s="98" t="str">
        <f aca="false">G18</f>
        <v>-</v>
      </c>
      <c r="E66" s="101"/>
      <c r="F66" s="20" t="n">
        <f aca="false">_xlfn.IFS($W$11=$X$9,E64*I18*0.9,$W$11=$X$10,E64*I18*0.7,$W$11=$X$11,E64*I18*0.5,$W$11=$X$12,E64*I18)</f>
        <v>0</v>
      </c>
      <c r="G66" s="20" t="n">
        <f aca="false">TRUNC(IF(COUNTIF(NOMINATIVI!$S$5:$S$28,D66)&gt;0,F66*23.8/NOMINATIVI!$H$36,F66*23.8/NOMINATIVI!$H$35),4)</f>
        <v>0</v>
      </c>
      <c r="H66" s="20" t="n">
        <f aca="false">TRUNC(J66*8.5/100,3)</f>
        <v>0</v>
      </c>
      <c r="I66" s="20" t="n">
        <f aca="false">TRUNC(IF(COUNTIF(NOMINATIVI!$S$5:$S$28,D66)&gt;0,F66*NOMINATIVI!$K$36/NOMINATIVI!$H$36,F66*NOMINATIVI!$K$35/NOMINATIVI!$H$35),2)</f>
        <v>0</v>
      </c>
      <c r="J66" s="20" t="n">
        <f aca="false">F66-G66-I66</f>
        <v>0</v>
      </c>
      <c r="X66" s="96"/>
    </row>
    <row r="67" customFormat="false" ht="15" hidden="true" customHeight="false" outlineLevel="0" collapsed="false">
      <c r="C67" s="103"/>
      <c r="D67" s="98" t="str">
        <f aca="false">G19</f>
        <v>TROIANI Claudia</v>
      </c>
      <c r="E67" s="101"/>
      <c r="F67" s="20" t="n">
        <f aca="false">_xlfn.IFS($W$11=$X$9,E64*I19*0.9,$W$11=$X$10,E64*I19*0.7,$W$11=$X$11,E64*I19*0.5,$W$11=$X$12,E64*I19)</f>
        <v>58.09536</v>
      </c>
      <c r="G67" s="20" t="n">
        <f aca="false">TRUNC(IF(COUNTIF(NOMINATIVI!$S$5:$S$28,D67)&gt;0,F67*23.8/NOMINATIVI!$H$36,F67*23.8/NOMINATIVI!$H$35),4)</f>
        <v>11.1379</v>
      </c>
      <c r="H67" s="20" t="n">
        <f aca="false">TRUNC(J67*8.5/100,3)</f>
        <v>3.978</v>
      </c>
      <c r="I67" s="20" t="n">
        <f aca="false">TRUNC(IF(COUNTIF(NOMINATIVI!$S$5:$S$28,D67)&gt;0,F67*NOMINATIVI!$K$36/NOMINATIVI!$H$36,F67*NOMINATIVI!$K$35/NOMINATIVI!$H$35),2)</f>
        <v>0.15</v>
      </c>
      <c r="J67" s="20" t="n">
        <f aca="false">F67-G67-I67</f>
        <v>46.80746</v>
      </c>
      <c r="X67" s="96"/>
    </row>
    <row r="68" customFormat="false" ht="15" hidden="true" customHeight="false" outlineLevel="0" collapsed="false">
      <c r="C68" s="103"/>
      <c r="D68" s="98" t="str">
        <f aca="false">G20</f>
        <v>-</v>
      </c>
      <c r="E68" s="101"/>
      <c r="F68" s="20" t="n">
        <f aca="false">_xlfn.IFS($W$11=$X$9,E64*I20*0.9,$W$11=$X$10,E64*I20*0.7,$W$11=$X$11,E64*I20*0.5,$W$11=$X$12,E64*I20)</f>
        <v>0</v>
      </c>
      <c r="G68" s="20" t="n">
        <f aca="false">TRUNC(IF(COUNTIF(NOMINATIVI!$S$5:$S$28,D68)&gt;0,F68*23.8/NOMINATIVI!$H$36,F68*23.8/NOMINATIVI!$H$35),4)</f>
        <v>0</v>
      </c>
      <c r="H68" s="20" t="n">
        <f aca="false">TRUNC(J68*8.5/100,3)</f>
        <v>0</v>
      </c>
      <c r="I68" s="20" t="n">
        <f aca="false">TRUNC(IF(COUNTIF(NOMINATIVI!$S$5:$S$28,D68)&gt;0,F68*NOMINATIVI!$K$36/NOMINATIVI!$H$36,F68*NOMINATIVI!$K$35/NOMINATIVI!$H$35),2)</f>
        <v>0</v>
      </c>
      <c r="J68" s="20" t="n">
        <f aca="false">F68-G68-I68</f>
        <v>0</v>
      </c>
      <c r="X68" s="96"/>
    </row>
    <row r="69" customFormat="false" ht="15" hidden="true" customHeight="false" outlineLevel="0" collapsed="false">
      <c r="C69" s="97" t="s">
        <v>50</v>
      </c>
      <c r="D69" s="98" t="str">
        <f aca="false">G21</f>
        <v>LOIACONO Graziana</v>
      </c>
      <c r="E69" s="101" t="n">
        <v>0</v>
      </c>
      <c r="F69" s="20" t="n">
        <f aca="false">IF($W$11=$X$9,(I21*E69)*0.9,I21*E69)</f>
        <v>0</v>
      </c>
      <c r="G69" s="20" t="n">
        <f aca="false">TRUNC(IF(COUNTIF(NOMINATIVI!$S$5:$S$28,D69)&gt;0,F69*23.8/NOMINATIVI!$H$36,F69*23.8/NOMINATIVI!$H$35),4)</f>
        <v>0</v>
      </c>
      <c r="H69" s="20" t="n">
        <f aca="false">TRUNC(J69*8.5/100,3)</f>
        <v>0</v>
      </c>
      <c r="I69" s="20" t="n">
        <f aca="false">TRUNC(IF(COUNTIF(NOMINATIVI!$S$5:$S$28,D69)&gt;0,F69*NOMINATIVI!$K$36/NOMINATIVI!$H$36,F69*NOMINATIVI!$K$35/NOMINATIVI!$H$35),2)</f>
        <v>0</v>
      </c>
      <c r="J69" s="20" t="n">
        <f aca="false">F69-G69-I69</f>
        <v>0</v>
      </c>
      <c r="X69" s="96"/>
    </row>
    <row r="70" customFormat="false" ht="15" hidden="true" customHeight="false" outlineLevel="0" collapsed="false">
      <c r="C70" s="84" t="s">
        <v>68</v>
      </c>
      <c r="D70" s="98" t="str">
        <f aca="false">G22</f>
        <v>-</v>
      </c>
      <c r="E70" s="101"/>
      <c r="F70" s="20" t="n">
        <f aca="false">IF($W$11=$X$9,(I22*E69)*0.9,I22*E69)</f>
        <v>0</v>
      </c>
      <c r="G70" s="20" t="n">
        <f aca="false">TRUNC(IF(COUNTIF(NOMINATIVI!$S$5:$S$28,D70)&gt;0,F70*23.8/NOMINATIVI!$H$36,F70*23.8/NOMINATIVI!$H$35),4)</f>
        <v>0</v>
      </c>
      <c r="H70" s="20" t="n">
        <f aca="false">TRUNC(J70*8.5/100,3)</f>
        <v>0</v>
      </c>
      <c r="I70" s="20" t="n">
        <f aca="false">TRUNC(IF(COUNTIF(NOMINATIVI!$S$5:$S$28,D70)&gt;0,F70*NOMINATIVI!$K$36/NOMINATIVI!$H$36,F70*NOMINATIVI!$K$35/NOMINATIVI!$H$35),2)</f>
        <v>0</v>
      </c>
      <c r="J70" s="20" t="n">
        <f aca="false">F70-G70-I70</f>
        <v>0</v>
      </c>
      <c r="X70" s="96"/>
    </row>
    <row r="71" customFormat="false" ht="15" hidden="true" customHeight="false" outlineLevel="0" collapsed="false">
      <c r="C71" s="84" t="s">
        <v>68</v>
      </c>
      <c r="D71" s="98" t="str">
        <f aca="false">G23</f>
        <v>-</v>
      </c>
      <c r="E71" s="101"/>
      <c r="F71" s="20" t="n">
        <f aca="false">IF($W$11=$X$9,(I23*E69)*0.9,I23*E69)</f>
        <v>0</v>
      </c>
      <c r="G71" s="20" t="n">
        <f aca="false">TRUNC(IF(COUNTIF(NOMINATIVI!$S$5:$S$28,D71)&gt;0,F71*23.8/NOMINATIVI!$H$36,F71*23.8/NOMINATIVI!$H$35),4)</f>
        <v>0</v>
      </c>
      <c r="H71" s="20" t="n">
        <f aca="false">TRUNC(J71*8.5/100,3)</f>
        <v>0</v>
      </c>
      <c r="I71" s="20" t="n">
        <f aca="false">TRUNC(IF(COUNTIF(NOMINATIVI!$S$5:$S$28,D71)&gt;0,F71*NOMINATIVI!$K$36/NOMINATIVI!$H$36,F71*NOMINATIVI!$K$35/NOMINATIVI!$H$35),2)</f>
        <v>0</v>
      </c>
      <c r="J71" s="20" t="n">
        <f aca="false">F71-G71-I71</f>
        <v>0</v>
      </c>
      <c r="X71" s="96"/>
    </row>
    <row r="72" customFormat="false" ht="15" hidden="true" customHeight="false" outlineLevel="0" collapsed="false">
      <c r="C72" s="10" t="s">
        <v>69</v>
      </c>
      <c r="D72" s="98" t="str">
        <f aca="false">G24</f>
        <v>-</v>
      </c>
      <c r="E72" s="101"/>
      <c r="F72" s="20" t="n">
        <f aca="false">IF($W$11=$X$9,(I24*E69)*0.9,I24*E69)</f>
        <v>0</v>
      </c>
      <c r="G72" s="20" t="n">
        <f aca="false">TRUNC(IF(COUNTIF(NOMINATIVI!$S$5:$S$28,D72)&gt;0,F72*23.8/NOMINATIVI!$H$36,F72*23.8/NOMINATIVI!$H$35),4)</f>
        <v>0</v>
      </c>
      <c r="H72" s="20" t="n">
        <f aca="false">TRUNC(J72*8.5/100,3)</f>
        <v>0</v>
      </c>
      <c r="I72" s="20" t="n">
        <f aca="false">TRUNC(IF(COUNTIF(NOMINATIVI!$S$5:$S$28,D72)&gt;0,F72*NOMINATIVI!$K$36/NOMINATIVI!$H$36,F72*NOMINATIVI!$K$35/NOMINATIVI!$H$35),2)</f>
        <v>0</v>
      </c>
      <c r="J72" s="20" t="n">
        <f aca="false">F72-G72-I72</f>
        <v>0</v>
      </c>
      <c r="X72" s="96"/>
    </row>
    <row r="73" customFormat="false" ht="15" hidden="true" customHeight="false" outlineLevel="0" collapsed="false">
      <c r="C73" s="103" t="s">
        <v>55</v>
      </c>
      <c r="D73" s="98" t="str">
        <f aca="false">G25</f>
        <v>TROIANI Claudia</v>
      </c>
      <c r="E73" s="101" t="n">
        <v>0.6</v>
      </c>
      <c r="F73" s="20" t="n">
        <f aca="false">_xlfn.IFS($W$11=$X$9,E73*I25*0.9,$W$11=$X$10,E73*I25*0.7,$W$11=$X$11,E73*I25*0.5,$W$11=$X$12,E73*I25)</f>
        <v>77.46048</v>
      </c>
      <c r="G73" s="20" t="n">
        <f aca="false">TRUNC(IF(COUNTIF(NOMINATIVI!$S$5:$S$28,D73)&gt;0,F73*23.8/NOMINATIVI!$H$36,F73*23.8/NOMINATIVI!$H$35),4)</f>
        <v>14.8506</v>
      </c>
      <c r="H73" s="20" t="n">
        <f aca="false">TRUNC(J73*8.5/100,3)</f>
        <v>5.303</v>
      </c>
      <c r="I73" s="20" t="n">
        <f aca="false">TRUNC(IF(COUNTIF(NOMINATIVI!$S$5:$S$28,D73)&gt;0,F73*NOMINATIVI!$K$36/NOMINATIVI!$H$36,F73*NOMINATIVI!$K$35/NOMINATIVI!$H$35),2)</f>
        <v>0.21</v>
      </c>
      <c r="J73" s="20" t="n">
        <f aca="false">F73-G73-I73</f>
        <v>62.39988</v>
      </c>
      <c r="X73" s="96"/>
    </row>
    <row r="74" customFormat="false" ht="15" hidden="true" customHeight="false" outlineLevel="0" collapsed="false">
      <c r="C74" s="103"/>
      <c r="D74" s="98" t="str">
        <f aca="false">G26</f>
        <v>-</v>
      </c>
      <c r="E74" s="101"/>
      <c r="F74" s="20" t="n">
        <f aca="false">_xlfn.IFS($W$11=$X$9,0.6*I26*0.9,$W$11=$X$10,0.6*I26*0.7,$W$11=$X$11,0.6*I26*0.5,$W$11=$X$12,0.6*I26)</f>
        <v>0</v>
      </c>
      <c r="G74" s="20" t="n">
        <f aca="false">TRUNC(IF(COUNTIF(NOMINATIVI!$S$5:$S$28,D74)&gt;0,F74*23.8/NOMINATIVI!$H$36,F74*23.8/NOMINATIVI!$H$35),4)</f>
        <v>0</v>
      </c>
      <c r="H74" s="20" t="n">
        <f aca="false">TRUNC(J74*8.5/100,3)</f>
        <v>0</v>
      </c>
      <c r="I74" s="20" t="n">
        <f aca="false">TRUNC(IF(COUNTIF(NOMINATIVI!$S$5:$S$28,D74)&gt;0,F74*NOMINATIVI!$K$36/NOMINATIVI!$H$36,F74*NOMINATIVI!$K$35/NOMINATIVI!$H$35),2)</f>
        <v>0</v>
      </c>
      <c r="J74" s="20" t="n">
        <f aca="false">F74-G74-I74</f>
        <v>0</v>
      </c>
      <c r="X74" s="96"/>
    </row>
    <row r="75" customFormat="false" ht="15" hidden="true" customHeight="false" outlineLevel="0" collapsed="false">
      <c r="C75" s="103"/>
      <c r="D75" s="98" t="str">
        <f aca="false">G27</f>
        <v>-</v>
      </c>
      <c r="E75" s="101"/>
      <c r="F75" s="20" t="n">
        <f aca="false">_xlfn.IFS($W$11=$X$9,0.6*I27*0.9,$W$11=$X$10,0.6*I27*0.7,$W$11=$X$11,0.6*I27*0.5,$W$11=$X$12,0.6*I27)</f>
        <v>0</v>
      </c>
      <c r="G75" s="20" t="n">
        <f aca="false">TRUNC(IF(COUNTIF(NOMINATIVI!$S$5:$S$28,D75)&gt;0,F75*23.8/NOMINATIVI!$H$36,F75*23.8/NOMINATIVI!$H$35),4)</f>
        <v>0</v>
      </c>
      <c r="H75" s="20" t="n">
        <f aca="false">TRUNC(J75*8.5/100,3)</f>
        <v>0</v>
      </c>
      <c r="I75" s="20" t="n">
        <f aca="false">TRUNC(IF(COUNTIF(NOMINATIVI!$S$5:$S$28,D75)&gt;0,F75*NOMINATIVI!$K$36/NOMINATIVI!$H$36,F75*NOMINATIVI!$K$35/NOMINATIVI!$H$35),2)</f>
        <v>0</v>
      </c>
      <c r="J75" s="20" t="n">
        <f aca="false">F75-G75-I75</f>
        <v>0</v>
      </c>
      <c r="X75" s="96"/>
    </row>
    <row r="76" customFormat="false" ht="15" hidden="true" customHeight="false" outlineLevel="0" collapsed="false">
      <c r="X76" s="96"/>
    </row>
    <row r="77" customFormat="false" ht="15" hidden="true" customHeight="true" outlineLevel="0" collapsed="false">
      <c r="C77" s="110" t="s">
        <v>71</v>
      </c>
      <c r="D77" s="110"/>
      <c r="E77" s="110"/>
      <c r="F77" s="110"/>
      <c r="G77" s="110"/>
      <c r="H77" s="110"/>
      <c r="I77" s="110"/>
      <c r="J77" s="110"/>
      <c r="X77" s="96"/>
    </row>
    <row r="78" customFormat="false" ht="15" hidden="true" customHeight="false" outlineLevel="0" collapsed="false">
      <c r="C78" s="14" t="s">
        <v>7</v>
      </c>
      <c r="D78" s="14" t="s">
        <v>58</v>
      </c>
      <c r="E78" s="14" t="s">
        <v>59</v>
      </c>
      <c r="F78" s="14" t="s">
        <v>10</v>
      </c>
      <c r="G78" s="14" t="s">
        <v>60</v>
      </c>
      <c r="H78" s="14" t="s">
        <v>61</v>
      </c>
      <c r="I78" s="14" t="s">
        <v>62</v>
      </c>
      <c r="J78" s="14" t="s">
        <v>63</v>
      </c>
      <c r="X78" s="96"/>
    </row>
    <row r="79" customFormat="false" ht="15" hidden="true" customHeight="false" outlineLevel="0" collapsed="false">
      <c r="C79" s="97" t="s">
        <v>14</v>
      </c>
      <c r="D79" s="98" t="str">
        <f aca="false">G8</f>
        <v>LEONE Luca</v>
      </c>
      <c r="E79" s="106" t="n">
        <v>0.2</v>
      </c>
      <c r="F79" s="20" t="n">
        <f aca="false">_xlfn.IFS($W$13=$X$9,E79*I8*0.9,$W$13=$X$10,E79*I8*0.7,$W$13=$X$11,E79*I8*0.5,$W$13=$X$12,E79*I8)</f>
        <v>59.386368</v>
      </c>
      <c r="G79" s="20" t="n">
        <f aca="false">TRUNC(IF(COUNTIF(NOMINATIVI!$S$5:$S$28,D79)&gt;0,F79*23.8/NOMINATIVI!$H$36,F79*23.8/NOMINATIVI!$H$35),4)</f>
        <v>11.3854</v>
      </c>
      <c r="H79" s="20" t="n">
        <f aca="false">TRUNC(J79*8.5/100,3)</f>
        <v>4.066</v>
      </c>
      <c r="I79" s="20" t="n">
        <f aca="false">TRUNC(IF(COUNTIF(NOMINATIVI!$S$5:$S$28,D79)&gt;0,F79*NOMINATIVI!$K$36/NOMINATIVI!$H$36,F79*NOMINATIVI!$K$35/NOMINATIVI!$H$35),2)</f>
        <v>0.16</v>
      </c>
      <c r="J79" s="20" t="n">
        <f aca="false">F79-G79-I79</f>
        <v>47.840968</v>
      </c>
      <c r="X79" s="96"/>
    </row>
    <row r="80" customFormat="false" ht="15" hidden="true" customHeight="false" outlineLevel="0" collapsed="false">
      <c r="C80" s="10" t="s">
        <v>65</v>
      </c>
      <c r="D80" s="98" t="str">
        <f aca="false">G9</f>
        <v>LEONE Luca</v>
      </c>
      <c r="E80" s="111"/>
      <c r="F80" s="20" t="n">
        <f aca="false">_xlfn.IFS($W$13=$X$9,E80*I9*0.9,$W$13=$X$10,E80*I9*0.7,$W$13=$X$11,E80*I9*0.5,$W$13=$X$12,E80*I9)</f>
        <v>0</v>
      </c>
      <c r="G80" s="20" t="n">
        <f aca="false">TRUNC(IF(COUNTIF(NOMINATIVI!$S$5:$S$28,D80)&gt;0,F80*23.8/NOMINATIVI!$H$36,F80*23.8/NOMINATIVI!$H$35),4)</f>
        <v>0</v>
      </c>
      <c r="H80" s="20" t="n">
        <f aca="false">TRUNC(J80*8.5/100,3)</f>
        <v>0</v>
      </c>
      <c r="I80" s="20" t="n">
        <f aca="false">TRUNC(IF(COUNTIF(NOMINATIVI!$S$5:$S$28,D80)&gt;0,F80*NOMINATIVI!$K$36/NOMINATIVI!$H$36,F80*NOMINATIVI!$K$35/NOMINATIVI!$H$35),2)</f>
        <v>0</v>
      </c>
      <c r="J80" s="20" t="n">
        <f aca="false">F80-G80-I80</f>
        <v>0</v>
      </c>
      <c r="X80" s="96"/>
    </row>
    <row r="81" customFormat="false" ht="15" hidden="true" customHeight="false" outlineLevel="0" collapsed="false">
      <c r="C81" s="100" t="s">
        <v>66</v>
      </c>
      <c r="D81" s="98" t="str">
        <f aca="false">G10</f>
        <v>TROIANI Claudia</v>
      </c>
      <c r="E81" s="112" t="n">
        <v>1</v>
      </c>
      <c r="F81" s="20" t="n">
        <f aca="false">_xlfn.IFS($W$13=$X$9,E81*I10*0.9,$W$13=$X$10,E81*I10*0.7,$W$13=$X$11,E81*I10*0.5,$W$13=$X$12,E81*I10)</f>
        <v>64.5504</v>
      </c>
      <c r="G81" s="20" t="n">
        <f aca="false">TRUNC(IF(COUNTIF(NOMINATIVI!$S$5:$S$28,D81)&gt;0,F81*23.8/NOMINATIVI!$H$36,F81*23.8/NOMINATIVI!$H$35),4)</f>
        <v>12.3755</v>
      </c>
      <c r="H81" s="20" t="n">
        <f aca="false">TRUNC(J81*8.5/100,3)</f>
        <v>4.42</v>
      </c>
      <c r="I81" s="20" t="n">
        <f aca="false">TRUNC(IF(COUNTIF(NOMINATIVI!$S$5:$S$28,D81)&gt;0,F81*NOMINATIVI!$K$36/NOMINATIVI!$H$36,F81*NOMINATIVI!$K$35/NOMINATIVI!$H$35),2)</f>
        <v>0.17</v>
      </c>
      <c r="J81" s="20" t="n">
        <f aca="false">F81-G81-I81</f>
        <v>52.0049</v>
      </c>
      <c r="X81" s="96"/>
    </row>
    <row r="82" customFormat="false" ht="15" hidden="true" customHeight="false" outlineLevel="0" collapsed="false">
      <c r="C82" s="8" t="s">
        <v>29</v>
      </c>
      <c r="D82" s="98" t="str">
        <f aca="false">G11</f>
        <v>LEONE Luca</v>
      </c>
      <c r="E82" s="101" t="n">
        <v>0</v>
      </c>
      <c r="F82" s="20" t="n">
        <f aca="false">_xlfn.IFS($W$13=$X$9,E82*I11*0.9,$W$13=$X$10,E82*I11*0.7,$W$13=$X$11,E82*I11*0.5,$W$13=$X$12,E82*I11)</f>
        <v>0</v>
      </c>
      <c r="G82" s="20" t="n">
        <f aca="false">TRUNC(IF(COUNTIF(NOMINATIVI!$S$5:$S$28,D82)&gt;0,F82*23.8/NOMINATIVI!$H$36,F82*23.8/NOMINATIVI!$H$35),4)</f>
        <v>0</v>
      </c>
      <c r="H82" s="20" t="n">
        <f aca="false">TRUNC(J82*8.5/100,3)</f>
        <v>0</v>
      </c>
      <c r="I82" s="20" t="n">
        <f aca="false">TRUNC(IF(COUNTIF(NOMINATIVI!$S$5:$S$28,D82)&gt;0,F82*NOMINATIVI!$K$36/NOMINATIVI!$H$36,F82*NOMINATIVI!$K$35/NOMINATIVI!$H$35),2)</f>
        <v>0</v>
      </c>
      <c r="J82" s="20" t="n">
        <f aca="false">F82-G82-I82</f>
        <v>0</v>
      </c>
      <c r="X82" s="96"/>
    </row>
    <row r="83" customFormat="false" ht="15" hidden="true" customHeight="false" outlineLevel="0" collapsed="false">
      <c r="C83" s="102" t="s">
        <v>33</v>
      </c>
      <c r="D83" s="98" t="str">
        <f aca="false">G12</f>
        <v>LEONE Luca</v>
      </c>
      <c r="E83" s="101" t="n">
        <v>0</v>
      </c>
      <c r="F83" s="20" t="n">
        <f aca="false">_xlfn.IFS($W$13=$X$9,E83*I12*0.9,$W$13=$X$10,E83*I12*0.7,$W$13=$X$11,E83*I12*0.5,$W$13=$X$12,E83*I12)</f>
        <v>0</v>
      </c>
      <c r="G83" s="20" t="n">
        <f aca="false">TRUNC(IF(COUNTIF(NOMINATIVI!$S$5:$S$28,D83)&gt;0,F83*23.8/NOMINATIVI!$H$36,F83*23.8/NOMINATIVI!$H$35),4)</f>
        <v>0</v>
      </c>
      <c r="H83" s="20" t="n">
        <f aca="false">TRUNC(J83*8.5/100,3)</f>
        <v>0</v>
      </c>
      <c r="I83" s="20" t="n">
        <f aca="false">TRUNC(IF(COUNTIF(NOMINATIVI!$S$5:$S$28,D83)&gt;0,F83*NOMINATIVI!$K$36/NOMINATIVI!$H$36,F83*NOMINATIVI!$K$35/NOMINATIVI!$H$35),2)</f>
        <v>0</v>
      </c>
      <c r="J83" s="20" t="n">
        <f aca="false">F83-G83-I83</f>
        <v>0</v>
      </c>
      <c r="X83" s="96"/>
    </row>
    <row r="84" customFormat="false" ht="15" hidden="true" customHeight="false" outlineLevel="0" collapsed="false">
      <c r="C84" s="102"/>
      <c r="D84" s="98" t="str">
        <f aca="false">G13</f>
        <v>-</v>
      </c>
      <c r="E84" s="101"/>
      <c r="F84" s="20" t="n">
        <f aca="false">_xlfn.IFS($W$13=$X$9,E84*I13*0.9,$W$13=$X$10,E84*I13*0.7,$W$13=$X$11,E84*I13*0.5,$W$13=$X$12,E84*I13)</f>
        <v>0</v>
      </c>
      <c r="G84" s="20" t="n">
        <f aca="false">TRUNC(IF(COUNTIF(NOMINATIVI!$S$5:$S$28,D84)&gt;0,F84*23.8/NOMINATIVI!$H$36,F84*23.8/NOMINATIVI!$H$35),4)</f>
        <v>0</v>
      </c>
      <c r="H84" s="20" t="n">
        <f aca="false">TRUNC(J84*8.5/100,3)</f>
        <v>0</v>
      </c>
      <c r="I84" s="20" t="n">
        <f aca="false">TRUNC(IF(COUNTIF(NOMINATIVI!$S$5:$S$28,D84)&gt;0,F84*NOMINATIVI!$K$36/NOMINATIVI!$H$36,F84*NOMINATIVI!$K$35/NOMINATIVI!$H$35),2)</f>
        <v>0</v>
      </c>
      <c r="J84" s="20" t="n">
        <f aca="false">F84-G84-I84</f>
        <v>0</v>
      </c>
      <c r="X84" s="96"/>
    </row>
    <row r="85" customFormat="false" ht="15" hidden="true" customHeight="false" outlineLevel="0" collapsed="false">
      <c r="C85" s="102"/>
      <c r="D85" s="98" t="str">
        <f aca="false">G14</f>
        <v>-</v>
      </c>
      <c r="E85" s="101" t="n">
        <v>0</v>
      </c>
      <c r="F85" s="20" t="n">
        <f aca="false">_xlfn.IFS($W$13=$X$9,E85*I14*0.9,$W$13=$X$10,E85*I14*0.7,$W$13=$X$11,E85*I14*0.5,$W$13=$X$12,E85*I14)</f>
        <v>0</v>
      </c>
      <c r="G85" s="20" t="n">
        <f aca="false">TRUNC(IF(COUNTIF(NOMINATIVI!$S$5:$S$28,D85)&gt;0,F85*23.8/NOMINATIVI!$H$36,F85*23.8/NOMINATIVI!$H$35),4)</f>
        <v>0</v>
      </c>
      <c r="H85" s="20" t="n">
        <f aca="false">TRUNC(J85*8.5/100,3)</f>
        <v>0</v>
      </c>
      <c r="I85" s="20" t="n">
        <f aca="false">TRUNC(IF(COUNTIF(NOMINATIVI!$S$5:$S$28,D85)&gt;0,F85*NOMINATIVI!$K$36/NOMINATIVI!$H$36,F85*NOMINATIVI!$K$35/NOMINATIVI!$H$35),2)</f>
        <v>0</v>
      </c>
      <c r="J85" s="20" t="n">
        <f aca="false">F85-G85-I85</f>
        <v>0</v>
      </c>
      <c r="X85" s="96"/>
    </row>
    <row r="86" customFormat="false" ht="15" hidden="true" customHeight="false" outlineLevel="0" collapsed="false">
      <c r="C86" s="8" t="s">
        <v>40</v>
      </c>
      <c r="D86" s="98" t="str">
        <f aca="false">G15</f>
        <v>LEONE Luca</v>
      </c>
      <c r="E86" s="101" t="n">
        <v>0</v>
      </c>
      <c r="F86" s="20" t="n">
        <f aca="false">_xlfn.IFS($W$13=$X$9,E86*I15*0.9,$W$13=$X$10,E86*I15*0.7,$W$13=$X$11,E86*I15*0.5,$W$13=$X$12,E86*I15)</f>
        <v>0</v>
      </c>
      <c r="G86" s="20" t="n">
        <f aca="false">TRUNC(IF(COUNTIF(NOMINATIVI!$S$5:$S$28,D86)&gt;0,F86*23.8/NOMINATIVI!$H$36,F86*23.8/NOMINATIVI!$H$35),4)</f>
        <v>0</v>
      </c>
      <c r="H86" s="20" t="n">
        <f aca="false">TRUNC(J86*8.5/100,3)</f>
        <v>0</v>
      </c>
      <c r="I86" s="20" t="n">
        <f aca="false">TRUNC(IF(COUNTIF(NOMINATIVI!$S$5:$S$28,D86)&gt;0,F86*NOMINATIVI!$K$36/NOMINATIVI!$H$36,F86*NOMINATIVI!$K$35/NOMINATIVI!$H$35),2)</f>
        <v>0</v>
      </c>
      <c r="J86" s="20" t="n">
        <f aca="false">F86-G86-I86</f>
        <v>0</v>
      </c>
      <c r="X86" s="96"/>
    </row>
    <row r="87" customFormat="false" ht="15" hidden="true" customHeight="false" outlineLevel="0" collapsed="false">
      <c r="C87" s="103" t="s">
        <v>67</v>
      </c>
      <c r="D87" s="98" t="str">
        <f aca="false">G16</f>
        <v>LEONE Luca</v>
      </c>
      <c r="E87" s="101" t="n">
        <v>0</v>
      </c>
      <c r="F87" s="20" t="n">
        <f aca="false">_xlfn.IFS($W$13=$X$9,E87*I16*0.9,$W$13=$X$10,E87*I16*0.7,$W$13=$X$11,E87*I16*0.5,$W$13=$X$12,E87*I16)</f>
        <v>0</v>
      </c>
      <c r="G87" s="20" t="n">
        <f aca="false">TRUNC(IF(COUNTIF(NOMINATIVI!$S$5:$S$28,D87)&gt;0,F87*23.8/NOMINATIVI!$H$36,F87*23.8/NOMINATIVI!$H$35),4)</f>
        <v>0</v>
      </c>
      <c r="H87" s="20" t="n">
        <f aca="false">TRUNC(J87*8.5/100,3)</f>
        <v>0</v>
      </c>
      <c r="I87" s="20" t="n">
        <f aca="false">TRUNC(IF(COUNTIF(NOMINATIVI!$S$5:$S$28,D87)&gt;0,F87*NOMINATIVI!$K$36/NOMINATIVI!$H$36,F87*NOMINATIVI!$K$35/NOMINATIVI!$H$35),2)</f>
        <v>0</v>
      </c>
      <c r="J87" s="20" t="n">
        <f aca="false">F87-G87-I87</f>
        <v>0</v>
      </c>
      <c r="X87" s="96"/>
    </row>
    <row r="88" customFormat="false" ht="15" hidden="true" customHeight="false" outlineLevel="0" collapsed="false">
      <c r="C88" s="103"/>
      <c r="D88" s="98" t="str">
        <f aca="false">G17</f>
        <v>LEONE Luca</v>
      </c>
      <c r="E88" s="101"/>
      <c r="F88" s="20" t="n">
        <f aca="false">_xlfn.IFS($W$13=$X$9,E88*I17*0.9,$W$13=$X$10,E88*I17*0.7,$W$13=$X$11,E88*I17*0.5,$W$13=$X$12,E88*I17)</f>
        <v>0</v>
      </c>
      <c r="G88" s="20" t="n">
        <f aca="false">TRUNC(IF(COUNTIF(NOMINATIVI!$S$5:$S$28,D88)&gt;0,F88*23.8/NOMINATIVI!$H$36,F88*23.8/NOMINATIVI!$H$35),4)</f>
        <v>0</v>
      </c>
      <c r="H88" s="20" t="n">
        <f aca="false">TRUNC(J88*8.5/100,3)</f>
        <v>0</v>
      </c>
      <c r="I88" s="20" t="n">
        <f aca="false">TRUNC(IF(COUNTIF(NOMINATIVI!$S$5:$S$28,D88)&gt;0,F88*NOMINATIVI!$K$36/NOMINATIVI!$H$36,F88*NOMINATIVI!$K$35/NOMINATIVI!$H$35),2)</f>
        <v>0</v>
      </c>
      <c r="J88" s="20" t="n">
        <f aca="false">F88-G88-I88</f>
        <v>0</v>
      </c>
      <c r="X88" s="96"/>
    </row>
    <row r="89" customFormat="false" ht="15" hidden="true" customHeight="false" outlineLevel="0" collapsed="false">
      <c r="C89" s="103"/>
      <c r="D89" s="98" t="str">
        <f aca="false">G18</f>
        <v>-</v>
      </c>
      <c r="E89" s="101"/>
      <c r="F89" s="20" t="n">
        <f aca="false">_xlfn.IFS($W$13=$X$9,E89*I18*0.9,$W$13=$X$10,E89*I18*0.7,$W$13=$X$11,E89*I18*0.5,$W$13=$X$12,E89*I18)</f>
        <v>0</v>
      </c>
      <c r="G89" s="20" t="n">
        <f aca="false">TRUNC(IF(COUNTIF(NOMINATIVI!$S$5:$S$28,D89)&gt;0,F89*23.8/NOMINATIVI!$H$36,F89*23.8/NOMINATIVI!$H$35),4)</f>
        <v>0</v>
      </c>
      <c r="H89" s="20" t="n">
        <f aca="false">TRUNC(J89*8.5/100,3)</f>
        <v>0</v>
      </c>
      <c r="I89" s="20" t="n">
        <f aca="false">TRUNC(IF(COUNTIF(NOMINATIVI!$S$5:$S$28,D89)&gt;0,F89*NOMINATIVI!$K$36/NOMINATIVI!$H$36,F89*NOMINATIVI!$K$35/NOMINATIVI!$H$35),2)</f>
        <v>0</v>
      </c>
      <c r="J89" s="20" t="n">
        <f aca="false">F89-G89-I89</f>
        <v>0</v>
      </c>
      <c r="K89" s="113"/>
      <c r="X89" s="96"/>
    </row>
    <row r="90" customFormat="false" ht="15" hidden="true" customHeight="false" outlineLevel="0" collapsed="false">
      <c r="C90" s="103"/>
      <c r="D90" s="98" t="str">
        <f aca="false">G19</f>
        <v>TROIANI Claudia</v>
      </c>
      <c r="E90" s="101"/>
      <c r="F90" s="20" t="n">
        <f aca="false">_xlfn.IFS($W$13=$X$9,E90*I19*0.9,$W$13=$X$10,E90*I19*0.7,$W$13=$X$11,E90*I19*0.5,$W$13=$X$12,E90*I19)</f>
        <v>0</v>
      </c>
      <c r="G90" s="20" t="n">
        <f aca="false">TRUNC(IF(COUNTIF(NOMINATIVI!$S$5:$S$28,D90)&gt;0,F90*23.8/NOMINATIVI!$H$36,F90*23.8/NOMINATIVI!$H$35),4)</f>
        <v>0</v>
      </c>
      <c r="H90" s="20" t="n">
        <f aca="false">TRUNC(J90*8.5/100,3)</f>
        <v>0</v>
      </c>
      <c r="I90" s="20" t="n">
        <f aca="false">TRUNC(IF(COUNTIF(NOMINATIVI!$S$5:$S$28,D90)&gt;0,F90*NOMINATIVI!$K$36/NOMINATIVI!$H$36,F90*NOMINATIVI!$K$35/NOMINATIVI!$H$35),2)</f>
        <v>0</v>
      </c>
      <c r="J90" s="20" t="n">
        <f aca="false">F90-G90-I90</f>
        <v>0</v>
      </c>
      <c r="K90" s="113"/>
      <c r="X90" s="96"/>
    </row>
    <row r="91" customFormat="false" ht="15" hidden="true" customHeight="false" outlineLevel="0" collapsed="false">
      <c r="C91" s="103"/>
      <c r="D91" s="98" t="str">
        <f aca="false">G20</f>
        <v>-</v>
      </c>
      <c r="E91" s="101"/>
      <c r="F91" s="20" t="n">
        <f aca="false">_xlfn.IFS($W$13=$X$9,E91*I20*0.9,$W$13=$X$10,E91*I20*0.7,$W$13=$X$11,E91*I20*0.5,$W$13=$X$12,E91*I20)</f>
        <v>0</v>
      </c>
      <c r="G91" s="20" t="n">
        <f aca="false">TRUNC(IF(COUNTIF(NOMINATIVI!$S$5:$S$28,D91)&gt;0,F91*23.8/NOMINATIVI!$H$36,F91*23.8/NOMINATIVI!$H$35),4)</f>
        <v>0</v>
      </c>
      <c r="H91" s="20" t="n">
        <f aca="false">TRUNC(J91*8.5/100,3)</f>
        <v>0</v>
      </c>
      <c r="I91" s="20" t="n">
        <f aca="false">TRUNC(IF(COUNTIF(NOMINATIVI!$S$5:$S$28,D91)&gt;0,F91*NOMINATIVI!$K$36/NOMINATIVI!$H$36,F91*NOMINATIVI!$K$35/NOMINATIVI!$H$35),2)</f>
        <v>0</v>
      </c>
      <c r="J91" s="20" t="n">
        <f aca="false">F91-G91-I91</f>
        <v>0</v>
      </c>
      <c r="K91" s="113"/>
      <c r="X91" s="96"/>
    </row>
    <row r="92" customFormat="false" ht="15" hidden="true" customHeight="false" outlineLevel="0" collapsed="false">
      <c r="C92" s="97" t="s">
        <v>50</v>
      </c>
      <c r="D92" s="98" t="str">
        <f aca="false">G21</f>
        <v>LOIACONO Graziana</v>
      </c>
      <c r="E92" s="101" t="n">
        <v>1</v>
      </c>
      <c r="F92" s="20" t="n">
        <f aca="false">_xlfn.IFS($W$13=$X$9,E92*I21*0.9,$W$13=$X$10,E92*I21*0.7,$W$13=$X$11,E92*I21*0.5,$W$13=$X$12,E92*I21)</f>
        <v>322.752</v>
      </c>
      <c r="G92" s="20" t="n">
        <f aca="false">TRUNC(IF(COUNTIF(NOMINATIVI!$S$5:$S$28,D92)&gt;0,F92*23.8/NOMINATIVI!$H$36,F92*23.8/NOMINATIVI!$H$35),4)</f>
        <v>61.51</v>
      </c>
      <c r="H92" s="20" t="n">
        <f aca="false">TRUNC(J92*8.5/100,3)</f>
        <v>21.968</v>
      </c>
      <c r="I92" s="20" t="n">
        <f aca="false">TRUNC(IF(COUNTIF(NOMINATIVI!$S$5:$S$28,D92)&gt;0,F92*NOMINATIVI!$K$36/NOMINATIVI!$H$36,F92*NOMINATIVI!$K$35/NOMINATIVI!$H$35),2)</f>
        <v>2.79</v>
      </c>
      <c r="J92" s="20" t="n">
        <f aca="false">F92-G92-I92</f>
        <v>258.452</v>
      </c>
      <c r="K92" s="113"/>
      <c r="X92" s="96"/>
    </row>
    <row r="93" customFormat="false" ht="15" hidden="true" customHeight="false" outlineLevel="0" collapsed="false">
      <c r="C93" s="84" t="s">
        <v>68</v>
      </c>
      <c r="D93" s="98" t="str">
        <f aca="false">G22</f>
        <v>-</v>
      </c>
      <c r="E93" s="101"/>
      <c r="F93" s="20" t="n">
        <f aca="false">_xlfn.IFS($W$13=$X$9,E92*I22*0.9,$W$13=$X$10,E92*I22*0.7,$W$13=$X$11,E92*I22*0.5,$W$13=$X$12,E92*I22)</f>
        <v>0</v>
      </c>
      <c r="G93" s="20" t="n">
        <f aca="false">TRUNC(IF(COUNTIF(NOMINATIVI!$S$5:$S$28,D93)&gt;0,F93*23.8/NOMINATIVI!$H$36,F93*23.8/NOMINATIVI!$H$35),4)</f>
        <v>0</v>
      </c>
      <c r="H93" s="20" t="n">
        <f aca="false">TRUNC(J93*8.5/100,3)</f>
        <v>0</v>
      </c>
      <c r="I93" s="20" t="n">
        <f aca="false">TRUNC(IF(COUNTIF(NOMINATIVI!$S$5:$S$28,D93)&gt;0,F93*NOMINATIVI!$K$36/NOMINATIVI!$H$36,F93*NOMINATIVI!$K$35/NOMINATIVI!$H$35),2)</f>
        <v>0</v>
      </c>
      <c r="J93" s="20" t="n">
        <f aca="false">F93-G93-I93</f>
        <v>0</v>
      </c>
      <c r="K93" s="113"/>
      <c r="X93" s="96"/>
    </row>
    <row r="94" customFormat="false" ht="15" hidden="true" customHeight="false" outlineLevel="0" collapsed="false">
      <c r="C94" s="84" t="s">
        <v>68</v>
      </c>
      <c r="D94" s="98" t="str">
        <f aca="false">G23</f>
        <v>-</v>
      </c>
      <c r="E94" s="101"/>
      <c r="F94" s="20" t="n">
        <f aca="false">_xlfn.IFS($W$13=$X$9,E92*I23*0.9,$W$13=$X$10,E92*I23*0.7,$W$13=$X$11,E92*I23*0.5,$W$13=$X$12,E92*I23)</f>
        <v>0</v>
      </c>
      <c r="G94" s="20" t="n">
        <f aca="false">TRUNC(IF(COUNTIF(NOMINATIVI!$S$5:$S$28,D94)&gt;0,F94*23.8/NOMINATIVI!$H$36,F94*23.8/NOMINATIVI!$H$35),4)</f>
        <v>0</v>
      </c>
      <c r="H94" s="20" t="n">
        <f aca="false">TRUNC(J94*8.5/100,3)</f>
        <v>0</v>
      </c>
      <c r="I94" s="20" t="n">
        <f aca="false">TRUNC(IF(COUNTIF(NOMINATIVI!$S$5:$S$28,D94)&gt;0,F94*NOMINATIVI!$K$36/NOMINATIVI!$H$36,F94*NOMINATIVI!$K$35/NOMINATIVI!$H$35),2)</f>
        <v>0</v>
      </c>
      <c r="J94" s="20" t="n">
        <f aca="false">F94-G94-I94</f>
        <v>0</v>
      </c>
      <c r="K94" s="113"/>
      <c r="X94" s="96"/>
    </row>
    <row r="95" customFormat="false" ht="15" hidden="true" customHeight="false" outlineLevel="0" collapsed="false">
      <c r="C95" s="10" t="s">
        <v>69</v>
      </c>
      <c r="D95" s="98" t="str">
        <f aca="false">G24</f>
        <v>-</v>
      </c>
      <c r="E95" s="101"/>
      <c r="F95" s="20" t="n">
        <f aca="false">_xlfn.IFS($W$13=$X$9,E92*I24*0.9,$W$13=$X$10,E92*I24*0.7,$W$13=$X$11,E92*I24*0.5,$W$13=$X$12,E92*I24)</f>
        <v>0</v>
      </c>
      <c r="G95" s="20" t="n">
        <f aca="false">TRUNC(IF(COUNTIF(NOMINATIVI!$S$5:$S$28,D95)&gt;0,F95*23.8/NOMINATIVI!$H$36,F95*23.8/NOMINATIVI!$H$35),4)</f>
        <v>0</v>
      </c>
      <c r="H95" s="20" t="n">
        <f aca="false">TRUNC(J95*8.5/100,3)</f>
        <v>0</v>
      </c>
      <c r="I95" s="20" t="n">
        <f aca="false">TRUNC(IF(COUNTIF(NOMINATIVI!$S$5:$S$28,D95)&gt;0,F95*NOMINATIVI!$K$36/NOMINATIVI!$H$36,F95*NOMINATIVI!$K$35/NOMINATIVI!$H$35),2)</f>
        <v>0</v>
      </c>
      <c r="J95" s="20" t="n">
        <f aca="false">F95-G95-I95</f>
        <v>0</v>
      </c>
      <c r="K95" s="113"/>
      <c r="X95" s="96"/>
    </row>
    <row r="96" customFormat="false" ht="15" hidden="true" customHeight="false" outlineLevel="0" collapsed="false">
      <c r="C96" s="103" t="s">
        <v>55</v>
      </c>
      <c r="D96" s="98" t="str">
        <f aca="false">G25</f>
        <v>TROIANI Claudia</v>
      </c>
      <c r="E96" s="101" t="n">
        <v>0.2</v>
      </c>
      <c r="F96" s="20" t="n">
        <f aca="false">_xlfn.IFS($W$13=$X$9,E96*I25*0.9,$W$13=$X$10,E96*I25*0.7,$W$13=$X$11,E96*I25*0.5,$W$13=$X$12,E96*I25)</f>
        <v>25.82016</v>
      </c>
      <c r="G96" s="20" t="n">
        <f aca="false">TRUNC(IF(COUNTIF(NOMINATIVI!$S$5:$S$28,D96)&gt;0,F96*23.8/NOMINATIVI!$H$36,F96*23.8/NOMINATIVI!$H$35),4)</f>
        <v>4.9502</v>
      </c>
      <c r="H96" s="20" t="n">
        <f aca="false">TRUNC(J96*8.5/100,3)</f>
        <v>1.767</v>
      </c>
      <c r="I96" s="20" t="n">
        <f aca="false">TRUNC(IF(COUNTIF(NOMINATIVI!$S$5:$S$28,D96)&gt;0,F96*NOMINATIVI!$K$36/NOMINATIVI!$H$36,F96*NOMINATIVI!$K$35/NOMINATIVI!$H$35),2)</f>
        <v>0.07</v>
      </c>
      <c r="J96" s="20" t="n">
        <f aca="false">F96-G96-I96</f>
        <v>20.79996</v>
      </c>
      <c r="K96" s="113"/>
      <c r="X96" s="96"/>
    </row>
    <row r="97" customFormat="false" ht="15" hidden="true" customHeight="false" outlineLevel="0" collapsed="false">
      <c r="C97" s="103"/>
      <c r="D97" s="98" t="str">
        <f aca="false">G26</f>
        <v>-</v>
      </c>
      <c r="E97" s="101"/>
      <c r="F97" s="20" t="n">
        <f aca="false">_xlfn.IFS($W$13=$X$9,E97*I26*0.9,$W$13=$X$10,E97*I26*0.7,$W$13=$X$11,E97*I26*0.5,$W$13=$X$12,E97*I26)</f>
        <v>0</v>
      </c>
      <c r="G97" s="20" t="n">
        <f aca="false">TRUNC(IF(COUNTIF(NOMINATIVI!$S$5:$S$28,D97)&gt;0,F97*23.8/NOMINATIVI!$H$36,F97*23.8/NOMINATIVI!$H$35),4)</f>
        <v>0</v>
      </c>
      <c r="H97" s="20" t="n">
        <f aca="false">TRUNC(J97*8.5/100,3)</f>
        <v>0</v>
      </c>
      <c r="I97" s="20" t="n">
        <f aca="false">TRUNC(IF(COUNTIF(NOMINATIVI!$S$5:$S$28,D97)&gt;0,F97*NOMINATIVI!$K$36/NOMINATIVI!$H$36,F97*NOMINATIVI!$K$35/NOMINATIVI!$H$35),2)</f>
        <v>0</v>
      </c>
      <c r="J97" s="20" t="n">
        <f aca="false">F97-G97-I97</f>
        <v>0</v>
      </c>
      <c r="X97" s="96"/>
    </row>
    <row r="98" customFormat="false" ht="15" hidden="true" customHeight="false" outlineLevel="0" collapsed="false">
      <c r="C98" s="103"/>
      <c r="D98" s="98" t="str">
        <f aca="false">G27</f>
        <v>-</v>
      </c>
      <c r="E98" s="101"/>
      <c r="F98" s="20" t="n">
        <f aca="false">_xlfn.IFS($W$13=$X$9,E98*I27*0.9,$W$13=$X$10,E98*I27*0.7,$W$13=$X$11,E98*I27*0.5,$W$13=$X$12,E98*I27)</f>
        <v>0</v>
      </c>
      <c r="G98" s="20" t="n">
        <f aca="false">TRUNC(IF(COUNTIF(NOMINATIVI!$S$5:$S$28,D98)&gt;0,F98*23.8/NOMINATIVI!$H$36,F98*23.8/NOMINATIVI!$H$35),4)</f>
        <v>0</v>
      </c>
      <c r="H98" s="20" t="n">
        <f aca="false">TRUNC(J98*8.5/100,3)</f>
        <v>0</v>
      </c>
      <c r="I98" s="20" t="n">
        <f aca="false">TRUNC(IF(COUNTIF(NOMINATIVI!$S$5:$S$28,D98)&gt;0,F98*NOMINATIVI!$K$36/NOMINATIVI!$H$36,F98*NOMINATIVI!$K$35/NOMINATIVI!$H$35),2)</f>
        <v>0</v>
      </c>
      <c r="J98" s="20" t="n">
        <f aca="false">F98-G98-I98</f>
        <v>0</v>
      </c>
    </row>
    <row r="99" customFormat="false" ht="15" hidden="true" customHeight="false" outlineLevel="0" collapsed="false"/>
    <row r="102" customFormat="false" ht="15" hidden="false" customHeight="false" outlineLevel="0" collapsed="false">
      <c r="C102" s="114" t="s">
        <v>8</v>
      </c>
      <c r="D102" s="115" t="s">
        <v>72</v>
      </c>
      <c r="E102" s="116" t="s">
        <v>70</v>
      </c>
      <c r="F102" s="117" t="s">
        <v>73</v>
      </c>
      <c r="G102" s="118" t="s">
        <v>74</v>
      </c>
      <c r="H102" s="119" t="s">
        <v>60</v>
      </c>
      <c r="I102" s="120" t="s">
        <v>62</v>
      </c>
      <c r="J102" s="120" t="s">
        <v>63</v>
      </c>
      <c r="K102" s="121" t="s">
        <v>75</v>
      </c>
    </row>
    <row r="103" customFormat="false" ht="15" hidden="false" customHeight="false" outlineLevel="0" collapsed="false">
      <c r="C103" s="122" t="str">
        <f aca="false">IF(ROWS(C$103:C103)&gt;$C$122,"",INDEX($G$8:$G$27,SMALL(IF(FREQUENCY(MATCH($G$8:$G$27,$G$8:$G$27,0),ROW($K$8:$K$27)-ROW($K$8)+1),ROW($K$8:$K$27)-ROW($K$8)+1),ROWS(C$103:C103))))</f>
        <v>LEONE Luca</v>
      </c>
      <c r="D103" s="123" t="n">
        <f aca="false">SUMIF($D$33:$D$52,C103,$F$33:$F$52)</f>
        <v>251.74656</v>
      </c>
      <c r="E103" s="123" t="n">
        <f aca="false">SUMIF(D56:D75,C103,F56:F75)</f>
        <v>391.175424</v>
      </c>
      <c r="F103" s="124" t="n">
        <f aca="false">SUMIF(D79:D96,C103,F79:F96)</f>
        <v>59.386368</v>
      </c>
      <c r="G103" s="125" t="n">
        <f aca="false">SUM(D103:F103)</f>
        <v>702.308352</v>
      </c>
      <c r="H103" s="126" t="n">
        <f aca="false">SUMIF($D$33:$D$52,C103,$G$33:$G$52)+SUMIF($D$56:$D$75,C103,$G$56:$G$75)+SUMIF($D$79:$D$96,C103,$G$79:$G$96)</f>
        <v>134.6453</v>
      </c>
      <c r="I103" s="127" t="n">
        <f aca="false">SUMIF($D$33:$D$52,C103,$I$33:$I$52)+SUMIF($D$56:$D$75,C103,$I$56:$I$75)+SUMIF($D$79:$D$96,C103,$I$79:$I$96)</f>
        <v>1.87</v>
      </c>
      <c r="J103" s="127" t="n">
        <f aca="false">SUMIF($D$33:$D$52,C103,$J$33:$J$52)+SUMIF($D$56:$D$75,C103,$J$56:$J$75)+SUMIF($D$79:$D$98,C103,$J$79:$J$98)</f>
        <v>565.793052</v>
      </c>
      <c r="K103" s="127" t="n">
        <f aca="false">SUMIF($D$33:$D$52,C103,$H$33:$H$52)+SUMIF($D$56:$D$75,C103,$H$56:$H$75)+SUMIF($D$79:$D$96,C103,$H$79:$H$96)</f>
        <v>48.087</v>
      </c>
    </row>
    <row r="104" customFormat="false" ht="15" hidden="false" customHeight="false" outlineLevel="0" collapsed="false">
      <c r="C104" s="122" t="str">
        <f aca="false" t="array" ref="C104:C104">IF(ROWS(C$103:C104)&gt;$C$122,"",INDEX($G$8:$G$27,SMALL(IF(FREQUENCY(MATCH($G$8:$G$27,$G$8:$G$27,0),ROW($K$8:$K$27)-ROW($K$8)+1),ROW($K$8:$K$27)-ROW($K$8)+1),ROWS(C$103:C104))))</f>
        <v>TROIANI Claudia</v>
      </c>
      <c r="D104" s="123" t="n">
        <f aca="false">SUMIF($D$33:$D$52,C104,$F$33:$F$52)</f>
        <v>25.82016</v>
      </c>
      <c r="E104" s="123" t="n">
        <f aca="false">SUMIF(D57:D76,C104,F57:F76)</f>
        <v>135.55584</v>
      </c>
      <c r="F104" s="124" t="n">
        <f aca="false">SUMIF(D80:D97,C104,F80:F97)</f>
        <v>90.37056</v>
      </c>
      <c r="G104" s="125" t="n">
        <f aca="false">SUM(D104:F104)</f>
        <v>251.74656</v>
      </c>
      <c r="H104" s="126" t="n">
        <f aca="false">SUMIF($D$33:$D$52,C104,$G$33:$G$52)+SUMIF($D$56:$D$75,C104,$G$56:$G$75)+SUMIF($D$79:$D$96,C104,$G$79:$G$96)</f>
        <v>48.2644</v>
      </c>
      <c r="I104" s="127" t="n">
        <f aca="false">SUMIF($D$33:$D$52,C104,$I$33:$I$52)+SUMIF($D$56:$D$75,C104,$I$56:$I$75)+SUMIF($D$79:$D$96,C104,$I$79:$I$96)</f>
        <v>0.67</v>
      </c>
      <c r="J104" s="127" t="n">
        <f aca="false">SUMIF($D$33:$D$52,C104,$J$33:$J$52)+SUMIF($D$56:$D$75,C104,$J$56:$J$75)+SUMIF($D$79:$D$98,C104,$J$79:$J$98)</f>
        <v>202.81216</v>
      </c>
      <c r="K104" s="127" t="n">
        <f aca="false">SUMIF($D$33:$D$52,C104,$H$33:$H$52)+SUMIF($D$56:$D$75,C104,$H$56:$H$75)+SUMIF($D$79:$D$96,C104,$H$79:$H$96)</f>
        <v>17.235</v>
      </c>
    </row>
    <row r="105" customFormat="false" ht="15" hidden="false" customHeight="false" outlineLevel="0" collapsed="false">
      <c r="C105" s="122" t="str">
        <f aca="false" t="array" ref="C105:C105">IF(ROWS(C$103:C105)&gt;$C$122,"",INDEX($G$8:$G$27,SMALL(IF(FREQUENCY(MATCH($G$8:$G$27,$G$8:$G$27,0),ROW($K$8:$K$27)-ROW($K$8)+1),ROW($K$8:$K$27)-ROW($K$8)+1),ROWS(C$103:C105))))</f>
        <v>-</v>
      </c>
      <c r="D105" s="123" t="n">
        <f aca="false">SUMIF($D$33:$D$52,C105,$F$33:$F$52)</f>
        <v>0</v>
      </c>
      <c r="E105" s="123" t="n">
        <f aca="false">SUMIF(D58:D77,C105,F58:F77)</f>
        <v>0</v>
      </c>
      <c r="F105" s="124" t="n">
        <f aca="false">SUMIF(D81:D98,C105,F81:F98)</f>
        <v>0</v>
      </c>
      <c r="G105" s="125" t="n">
        <f aca="false">SUM(D105:F105)</f>
        <v>0</v>
      </c>
      <c r="H105" s="126" t="n">
        <f aca="false">SUMIF($D$33:$D$52,C105,$G$33:$G$52)+SUMIF($D$56:$D$75,C105,$G$56:$G$75)+SUMIF($D$79:$D$96,C105,$G$79:$G$96)</f>
        <v>0</v>
      </c>
      <c r="I105" s="127" t="n">
        <f aca="false">SUMIF($D$33:$D$52,C105,$I$33:$I$52)+SUMIF($D$56:$D$75,C105,$I$56:$I$75)+SUMIF($D$79:$D$96,C105,$I$79:$I$96)</f>
        <v>0</v>
      </c>
      <c r="J105" s="127" t="n">
        <f aca="false">SUMIF($D$33:$D$52,C105,$J$33:$J$52)+SUMIF($D$56:$D$75,C105,$J$56:$J$75)+SUMIF($D$79:$D$98,C105,$J$79:$J$98)</f>
        <v>0</v>
      </c>
      <c r="K105" s="127" t="n">
        <f aca="false">SUMIF($D$33:$D$52,C105,$H$33:$H$52)+SUMIF($D$56:$D$75,C105,$H$56:$H$75)+SUMIF($D$79:$D$96,C105,$H$79:$H$96)</f>
        <v>0</v>
      </c>
    </row>
    <row r="106" customFormat="false" ht="15" hidden="false" customHeight="false" outlineLevel="0" collapsed="false">
      <c r="C106" s="122" t="str">
        <f aca="false" t="array" ref="C106:C106">IF(ROWS(C$103:C106)&gt;$C$122,"",INDEX($G$8:$G$27,SMALL(IF(FREQUENCY(MATCH($G$8:$G$27,$G$8:$G$27,0),ROW($K$8:$K$27)-ROW($K$8)+1),ROW($K$8:$K$27)-ROW($K$8)+1),ROWS(C$103:C106))))</f>
        <v>LOIACONO Graziana</v>
      </c>
      <c r="D106" s="123" t="n">
        <f aca="false">SUMIF($D$33:$D$52,C106,$F$33:$F$52)</f>
        <v>0</v>
      </c>
      <c r="E106" s="123" t="n">
        <f aca="false">SUMIF(D59:D78,C106,F59:F78)</f>
        <v>0</v>
      </c>
      <c r="F106" s="124" t="n">
        <f aca="false">SUMIF(D82:D102,C106,F82:F102)</f>
        <v>322.752</v>
      </c>
      <c r="G106" s="125" t="n">
        <f aca="false">SUM(D106:F106)</f>
        <v>322.752</v>
      </c>
      <c r="H106" s="126" t="n">
        <f aca="false">SUMIF($D$33:$D$52,C106,$G$33:$G$52)+SUMIF($D$56:$D$75,C106,$G$56:$G$75)+SUMIF($D$79:$D$96,C106,$G$79:$G$96)</f>
        <v>61.51</v>
      </c>
      <c r="I106" s="127" t="n">
        <f aca="false">SUMIF($D$33:$D$52,C106,$I$33:$I$52)+SUMIF($D$56:$D$75,C106,$I$56:$I$75)+SUMIF($D$79:$D$96,C106,$I$79:$I$96)</f>
        <v>2.79</v>
      </c>
      <c r="J106" s="127" t="n">
        <f aca="false">SUMIF($D$33:$D$52,C106,$J$33:$J$52)+SUMIF($D$56:$D$75,C106,$J$56:$J$75)+SUMIF($D$79:$D$98,C106,$J$79:$J$98)</f>
        <v>258.452</v>
      </c>
      <c r="K106" s="127" t="n">
        <f aca="false">SUMIF($D$33:$D$52,C106,$H$33:$H$52)+SUMIF($D$56:$D$75,C106,$H$56:$H$75)+SUMIF($D$79:$D$96,C106,$H$79:$H$96)</f>
        <v>21.968</v>
      </c>
    </row>
    <row r="107" customFormat="false" ht="15" hidden="false" customHeight="false" outlineLevel="0" collapsed="false">
      <c r="C107" s="122" t="str">
        <f aca="false" t="array" ref="C107:C107">IF(ROWS(C$103:C107)&gt;$C$122,"",INDEX($G$8:$G$27,SMALL(IF(FREQUENCY(MATCH($G$8:$G$27,$G$8:$G$27,0),ROW($K$8:$K$27)-ROW($K$8)+1),ROW($K$8:$K$27)-ROW($K$8)+1),ROWS(C$103:C107))))</f>
        <v/>
      </c>
      <c r="D107" s="123" t="n">
        <f aca="false">SUMIF($D$33:$D$52,C107,$F$33:$F$52)</f>
        <v>0</v>
      </c>
      <c r="E107" s="123" t="n">
        <f aca="false">SUMIF(D60:D79,C107,F60:F79)</f>
        <v>0</v>
      </c>
      <c r="F107" s="124" t="n">
        <f aca="false">SUMIF(D83:D103,C107,F83:F103)</f>
        <v>0</v>
      </c>
      <c r="G107" s="125" t="n">
        <f aca="false">SUM(D107:F107)</f>
        <v>0</v>
      </c>
      <c r="H107" s="126" t="n">
        <f aca="false">SUMIF($D$33:$D$52,C107,$G$33:$G$52)+SUMIF($D$56:$D$75,C107,$G$56:$G$75)+SUMIF($D$79:$D$96,C107,$G$79:$G$96)</f>
        <v>0</v>
      </c>
      <c r="I107" s="127" t="n">
        <f aca="false">SUMIF($D$33:$D$52,C107,$I$33:$I$52)+SUMIF($D$56:$D$75,C107,$I$56:$I$75)+SUMIF($D$79:$D$96,C107,$I$79:$I$96)</f>
        <v>0</v>
      </c>
      <c r="J107" s="127" t="n">
        <f aca="false">SUMIF($D$33:$D$52,C107,$J$33:$J$52)+SUMIF($D$56:$D$75,C107,$J$56:$J$75)+SUMIF($D$79:$D$98,C107,$J$79:$J$98)</f>
        <v>0</v>
      </c>
      <c r="K107" s="127" t="n">
        <f aca="false">SUMIF($D$33:$D$52,C107,$H$33:$H$52)+SUMIF($D$56:$D$75,C107,$H$56:$H$75)+SUMIF($D$79:$D$96,C107,$H$79:$H$96)</f>
        <v>0</v>
      </c>
    </row>
    <row r="108" customFormat="false" ht="15" hidden="false" customHeight="false" outlineLevel="0" collapsed="false">
      <c r="C108" s="122" t="str">
        <f aca="false" t="array" ref="C108:C108">IF(ROWS(C$103:C108)&gt;$C$122,"",INDEX($G$8:$G$27,SMALL(IF(FREQUENCY(MATCH($G$8:$G$27,$G$8:$G$27,0),ROW($K$8:$K$27)-ROW($K$8)+1),ROW($K$8:$K$27)-ROW($K$8)+1),ROWS(C$103:C108))))</f>
        <v/>
      </c>
      <c r="D108" s="123" t="n">
        <f aca="false">SUMIF($D$33:$D$52,C108,$F$33:$F$52)</f>
        <v>0</v>
      </c>
      <c r="E108" s="123" t="n">
        <f aca="false">SUMIF(D61:D80,C108,F61:F80)</f>
        <v>0</v>
      </c>
      <c r="F108" s="124" t="n">
        <f aca="false">SUMIF(D84:D104,C108,F84:F104)</f>
        <v>0</v>
      </c>
      <c r="G108" s="125" t="n">
        <f aca="false">SUM(D108:F108)</f>
        <v>0</v>
      </c>
      <c r="H108" s="126" t="n">
        <f aca="false">SUMIF($D$33:$D$52,C108,$G$33:$G$52)+SUMIF($D$56:$D$75,C108,$G$56:$G$75)+SUMIF($D$79:$D$96,C108,$G$79:$G$96)</f>
        <v>0</v>
      </c>
      <c r="I108" s="127" t="n">
        <f aca="false">SUMIF($D$33:$D$52,C108,$I$33:$I$52)+SUMIF($D$56:$D$75,C108,$I$56:$I$75)+SUMIF($D$79:$D$96,C108,$I$79:$I$96)</f>
        <v>0</v>
      </c>
      <c r="J108" s="127" t="n">
        <f aca="false">SUMIF($D$33:$D$52,C108,$J$33:$J$52)+SUMIF($D$56:$D$75,C108,$J$56:$J$75)+SUMIF($D$79:$D$98,C108,$J$79:$J$98)</f>
        <v>0</v>
      </c>
      <c r="K108" s="127" t="n">
        <f aca="false">SUMIF($D$33:$D$52,C108,$H$33:$H$52)+SUMIF($D$56:$D$75,C108,$H$56:$H$75)+SUMIF($D$79:$D$96,C108,$H$79:$H$96)</f>
        <v>0</v>
      </c>
    </row>
    <row r="109" customFormat="false" ht="15" hidden="false" customHeight="false" outlineLevel="0" collapsed="false">
      <c r="C109" s="122" t="str">
        <f aca="false" t="array" ref="C109:C109">IF(ROWS(C$103:C109)&gt;$C$122,"",INDEX($G$8:$G$27,SMALL(IF(FREQUENCY(MATCH($G$8:$G$27,$G$8:$G$27,0),ROW($K$8:$K$27)-ROW($K$8)+1),ROW($K$8:$K$27)-ROW($K$8)+1),ROWS(C$103:C109))))</f>
        <v/>
      </c>
      <c r="D109" s="123" t="n">
        <f aca="false">SUMIF($D$33:$D$52,C109,$F$33:$F$52)</f>
        <v>0</v>
      </c>
      <c r="E109" s="123" t="n">
        <f aca="false">SUMIF(D62:D81,C109,F62:F81)</f>
        <v>0</v>
      </c>
      <c r="F109" s="124" t="n">
        <f aca="false">SUMIF(D85:D105,C109,F85:F105)</f>
        <v>0</v>
      </c>
      <c r="G109" s="125" t="n">
        <f aca="false">SUM(D109:F109)</f>
        <v>0</v>
      </c>
      <c r="H109" s="126" t="n">
        <f aca="false">SUMIF($D$33:$D$52,C109,$G$33:$G$52)+SUMIF($D$56:$D$75,C109,$G$56:$G$75)+SUMIF($D$79:$D$96,C109,$G$79:$G$96)</f>
        <v>0</v>
      </c>
      <c r="I109" s="127" t="n">
        <f aca="false">SUMIF($D$33:$D$52,C109,$I$33:$I$52)+SUMIF($D$56:$D$75,C109,$I$56:$I$75)+SUMIF($D$79:$D$96,C109,$I$79:$I$96)</f>
        <v>0</v>
      </c>
      <c r="J109" s="127" t="n">
        <f aca="false">SUMIF($D$33:$D$52,C109,$J$33:$J$52)+SUMIF($D$56:$D$75,C109,$J$56:$J$75)+SUMIF($D$79:$D$98,C109,$J$79:$J$98)</f>
        <v>0</v>
      </c>
      <c r="K109" s="127" t="n">
        <f aca="false">SUMIF($D$33:$D$52,C109,$H$33:$H$52)+SUMIF($D$56:$D$75,C109,$H$56:$H$75)+SUMIF($D$79:$D$96,C109,$H$79:$H$96)</f>
        <v>0</v>
      </c>
      <c r="S109" s="1" t="s">
        <v>76</v>
      </c>
    </row>
    <row r="110" customFormat="false" ht="15" hidden="false" customHeight="false" outlineLevel="0" collapsed="false">
      <c r="C110" s="122" t="str">
        <f aca="false" t="array" ref="C110:C110">IF(ROWS(C$103:C110)&gt;$C$122,"",INDEX($G$8:$G$27,SMALL(IF(FREQUENCY(MATCH($G$8:$G$27,$G$8:$G$27,0),ROW($K$8:$K$27)-ROW($K$8)+1),ROW($K$8:$K$27)-ROW($K$8)+1),ROWS(C$103:C110))))</f>
        <v/>
      </c>
      <c r="D110" s="123" t="n">
        <f aca="false">SUMIF($D$33:$D$52,C110,$F$33:$F$52)</f>
        <v>0</v>
      </c>
      <c r="E110" s="123" t="n">
        <f aca="false">SUMIF(D63:D82,C110,F63:F82)</f>
        <v>0</v>
      </c>
      <c r="F110" s="124" t="n">
        <f aca="false">SUMIF(D86:D106,C110,F86:F106)</f>
        <v>0</v>
      </c>
      <c r="G110" s="125" t="n">
        <f aca="false">SUM(D110:F110)</f>
        <v>0</v>
      </c>
      <c r="H110" s="126" t="n">
        <f aca="false">SUMIF($D$33:$D$52,C110,$G$33:$G$52)+SUMIF($D$56:$D$75,C110,$G$56:$G$75)+SUMIF($D$79:$D$96,C110,$G$79:$G$96)</f>
        <v>0</v>
      </c>
      <c r="I110" s="127" t="n">
        <f aca="false">SUMIF($D$33:$D$52,C110,$I$33:$I$52)+SUMIF($D$56:$D$75,C110,$I$56:$I$75)+SUMIF($D$79:$D$96,C110,$I$79:$I$96)</f>
        <v>0</v>
      </c>
      <c r="J110" s="127" t="n">
        <f aca="false">SUMIF($D$33:$D$52,C110,$J$33:$J$52)+SUMIF($D$56:$D$75,C110,$J$56:$J$75)+SUMIF($D$79:$D$98,C110,$J$79:$J$98)</f>
        <v>0</v>
      </c>
      <c r="K110" s="127" t="n">
        <f aca="false">SUMIF($D$33:$D$52,C110,$H$33:$H$52)+SUMIF($D$56:$D$75,C110,$H$56:$H$75)+SUMIF($D$79:$D$96,C110,$H$79:$H$96)</f>
        <v>0</v>
      </c>
      <c r="S110" s="1" t="s">
        <v>77</v>
      </c>
      <c r="V110" s="128" t="str">
        <f aca="false">+V141</f>
        <v>LEONE Luca</v>
      </c>
      <c r="W110" s="128"/>
    </row>
    <row r="111" customFormat="false" ht="15" hidden="false" customHeight="false" outlineLevel="0" collapsed="false">
      <c r="C111" s="122" t="str">
        <f aca="false" t="array" ref="C111:C111">IF(ROWS(C$103:C111)&gt;$C$122,"",INDEX($G$8:$G$27,SMALL(IF(FREQUENCY(MATCH($G$8:$G$27,$G$8:$G$27,0),ROW($K$8:$K$27)-ROW($K$8)+1),ROW($K$8:$K$27)-ROW($K$8)+1),ROWS(C$103:C111))))</f>
        <v/>
      </c>
      <c r="D111" s="123" t="n">
        <f aca="false">SUMIF($D$33:$D$52,C111,$F$33:$F$52)</f>
        <v>0</v>
      </c>
      <c r="E111" s="123" t="n">
        <f aca="false">SUMIF(D63:D83,C111,F63:F83)</f>
        <v>0</v>
      </c>
      <c r="F111" s="124" t="n">
        <f aca="false">SUMIF(D87:D107,C111,F87:F107)</f>
        <v>0</v>
      </c>
      <c r="G111" s="125" t="n">
        <f aca="false">SUM(D111:F111)</f>
        <v>0</v>
      </c>
      <c r="H111" s="126" t="n">
        <f aca="false">SUMIF($D$33:$D$52,C111,$G$33:$G$52)+SUMIF($D$56:$D$75,C111,$G$56:$G$75)+SUMIF($D$79:$D$96,C111,$G$79:$G$96)</f>
        <v>0</v>
      </c>
      <c r="I111" s="127" t="n">
        <f aca="false">SUMIF($D$33:$D$52,C111,$I$33:$I$52)+SUMIF($D$56:$D$75,C111,$I$56:$I$75)+SUMIF($D$79:$D$96,C111,$I$79:$I$96)</f>
        <v>0</v>
      </c>
      <c r="J111" s="127" t="n">
        <f aca="false">SUMIF($D$33:$D$52,C111,$J$33:$J$52)+SUMIF($D$56:$D$75,C111,$J$56:$J$75)+SUMIF($D$79:$D$98,C111,$J$79:$J$98)</f>
        <v>0</v>
      </c>
      <c r="K111" s="127" t="n">
        <f aca="false">SUMIF($D$33:$D$52,C111,$H$33:$H$52)+SUMIF($D$56:$D$75,C111,$H$56:$H$75)+SUMIF($D$79:$D$96,C111,$H$79:$H$96)</f>
        <v>0</v>
      </c>
    </row>
    <row r="112" customFormat="false" ht="15" hidden="false" customHeight="false" outlineLevel="0" collapsed="false">
      <c r="C112" s="122" t="str">
        <f aca="false" t="array" ref="C112:C112">IF(ROWS(C$103:C112)&gt;$C$122,"",INDEX($G$8:$G$27,SMALL(IF(FREQUENCY(MATCH($G$8:$G$27,$G$8:$G$27,0),ROW($K$8:$K$27)-ROW($K$8)+1),ROW($K$8:$K$27)-ROW($K$8)+1),ROWS(C$103:C112))))</f>
        <v/>
      </c>
      <c r="D112" s="123" t="n">
        <f aca="false">SUMIF($D$33:$D$52,C112,$F$33:$F$52)</f>
        <v>0</v>
      </c>
      <c r="E112" s="123" t="n">
        <f aca="false">SUMIF(D64:D84,C112,F64:F84)</f>
        <v>0</v>
      </c>
      <c r="F112" s="124" t="n">
        <f aca="false">SUMIF(D88:D108,C112,F88:F108)</f>
        <v>0</v>
      </c>
      <c r="G112" s="125" t="n">
        <f aca="false">SUM(D112:F112)</f>
        <v>0</v>
      </c>
      <c r="H112" s="126" t="n">
        <f aca="false">SUMIF($D$33:$D$52,C112,$G$33:$G$52)+SUMIF($D$56:$D$75,C112,$G$56:$G$75)+SUMIF($D$79:$D$96,C112,$G$79:$G$96)</f>
        <v>0</v>
      </c>
      <c r="I112" s="127" t="n">
        <f aca="false">SUMIF($D$33:$D$52,C112,$I$33:$I$52)+SUMIF($D$56:$D$75,C112,$I$56:$I$75)+SUMIF($D$79:$D$96,C112,$I$79:$I$96)</f>
        <v>0</v>
      </c>
      <c r="J112" s="127" t="n">
        <f aca="false">SUMIF($D$33:$D$52,C112,$J$33:$J$52)+SUMIF($D$56:$D$75,C112,$J$56:$J$75)+SUMIF($D$79:$D$98,C112,$J$79:$J$98)</f>
        <v>0</v>
      </c>
      <c r="K112" s="127" t="n">
        <f aca="false">SUMIF($D$33:$D$52,C112,$H$33:$H$52)+SUMIF($D$56:$D$75,C112,$H$56:$H$75)+SUMIF($D$79:$D$96,C112,$H$79:$H$96)</f>
        <v>0</v>
      </c>
      <c r="S112" s="1" t="s">
        <v>78</v>
      </c>
    </row>
    <row r="113" customFormat="false" ht="15" hidden="false" customHeight="false" outlineLevel="0" collapsed="false">
      <c r="C113" s="122" t="str">
        <f aca="false" t="array" ref="C113:C113">IF(ROWS(C$103:C113)&gt;$C$122,"",INDEX($G$8:$G$27,SMALL(IF(FREQUENCY(MATCH($G$8:$G$27,$G$8:$G$27,0),ROW($K$8:$K$27)-ROW($K$8)+1),ROW($K$8:$K$27)-ROW($K$8)+1),ROWS(C$103:C113))))</f>
        <v/>
      </c>
      <c r="D113" s="123" t="n">
        <f aca="false">SUMIF($D$33:$D$52,C113,$F$33:$F$52)</f>
        <v>0</v>
      </c>
      <c r="E113" s="123" t="n">
        <f aca="false">SUMIF(D65:D85,C113,F65:F85)</f>
        <v>0</v>
      </c>
      <c r="F113" s="124" t="n">
        <f aca="false">SUMIF(D89:D109,C113,F89:F109)</f>
        <v>0</v>
      </c>
      <c r="G113" s="125" t="n">
        <f aca="false">SUM(D113:F113)</f>
        <v>0</v>
      </c>
      <c r="H113" s="126" t="n">
        <f aca="false">SUMIF($D$33:$D$52,C113,$G$33:$G$52)+SUMIF($D$56:$D$75,C113,$G$56:$G$75)+SUMIF($D$79:$D$96,C113,$G$79:$G$96)</f>
        <v>0</v>
      </c>
      <c r="I113" s="127" t="n">
        <f aca="false">SUMIF($D$33:$D$52,C113,$I$33:$I$52)+SUMIF($D$56:$D$75,C113,$I$56:$I$75)+SUMIF($D$79:$D$96,C113,$I$79:$I$96)</f>
        <v>0</v>
      </c>
      <c r="J113" s="127" t="n">
        <f aca="false">SUMIF($D$33:$D$52,C113,$J$33:$J$52)+SUMIF($D$56:$D$75,C113,$J$56:$J$75)+SUMIF($D$79:$D$98,C113,$J$79:$J$98)</f>
        <v>0</v>
      </c>
      <c r="K113" s="127" t="n">
        <f aca="false">SUMIF($D$33:$D$52,C113,$H$33:$H$52)+SUMIF($D$56:$D$75,C113,$H$56:$H$75)+SUMIF($D$79:$D$96,C113,$H$79:$H$96)</f>
        <v>0</v>
      </c>
    </row>
    <row r="114" customFormat="false" ht="15" hidden="false" customHeight="false" outlineLevel="0" collapsed="false">
      <c r="C114" s="122" t="str">
        <f aca="false" t="array" ref="C114:C114">IF(ROWS(C$103:C114)&gt;$C$122,"",INDEX($G$8:$G$27,SMALL(IF(FREQUENCY(MATCH($G$8:$G$27,$G$8:$G$27,0),ROW($K$8:$K$27)-ROW($K$8)+1),ROW($K$8:$K$27)-ROW($K$8)+1),ROWS(C$103:C114))))</f>
        <v/>
      </c>
      <c r="D114" s="123" t="n">
        <f aca="false">SUMIF($D$33:$D$52,C114,$F$33:$F$52)</f>
        <v>0</v>
      </c>
      <c r="E114" s="123" t="n">
        <f aca="false">SUMIF(D68:D86,C114,F68:F86)</f>
        <v>0</v>
      </c>
      <c r="F114" s="124" t="n">
        <f aca="false">SUMIF(D90:D110,C114,F90:F110)</f>
        <v>0</v>
      </c>
      <c r="G114" s="125" t="n">
        <f aca="false">SUM(D114:F114)</f>
        <v>0</v>
      </c>
      <c r="H114" s="126" t="n">
        <f aca="false">SUMIF($D$33:$D$52,C114,$G$33:$G$52)+SUMIF($D$56:$D$75,C114,$G$56:$G$75)+SUMIF($D$79:$D$96,C114,$G$79:$G$96)</f>
        <v>0</v>
      </c>
      <c r="I114" s="127" t="n">
        <f aca="false">SUMIF($D$33:$D$52,C114,$I$33:$I$52)+SUMIF($D$56:$D$75,C114,$I$56:$I$75)+SUMIF($D$79:$D$96,C114,$I$79:$I$96)</f>
        <v>0</v>
      </c>
      <c r="J114" s="127" t="n">
        <f aca="false">SUMIF($D$33:$D$52,C114,$J$33:$J$52)+SUMIF($D$56:$D$75,C114,$J$56:$J$75)+SUMIF($D$79:$D$98,C114,$J$79:$J$98)</f>
        <v>0</v>
      </c>
      <c r="K114" s="127" t="n">
        <f aca="false">SUMIF($D$33:$D$52,C114,$H$33:$H$52)+SUMIF($D$56:$D$75,C114,$H$56:$H$75)+SUMIF($D$79:$D$96,C114,$H$79:$H$96)</f>
        <v>0</v>
      </c>
    </row>
    <row r="115" customFormat="false" ht="15" hidden="false" customHeight="false" outlineLevel="0" collapsed="false">
      <c r="C115" s="122" t="str">
        <f aca="false" t="array" ref="C115:C115">IF(ROWS(C$103:C115)&gt;$C$122,"",INDEX($G$8:$G$27,SMALL(IF(FREQUENCY(MATCH($G$8:$G$27,$G$8:$G$27,0),ROW($K$8:$K$27)-ROW($K$8)+1),ROW($K$8:$K$27)-ROW($K$8)+1),ROWS(C$103:C115))))</f>
        <v/>
      </c>
      <c r="D115" s="123" t="n">
        <f aca="false">SUMIF($D$33:$D$52,C115,$F$33:$F$52)</f>
        <v>0</v>
      </c>
      <c r="E115" s="123" t="n">
        <f aca="false">SUMIF(D69:D87,C115,F69:F87)</f>
        <v>0</v>
      </c>
      <c r="F115" s="124" t="n">
        <f aca="false">SUMIF(D91:D111,C115,F91:F111)</f>
        <v>0</v>
      </c>
      <c r="G115" s="125" t="n">
        <f aca="false">SUM(D115:F115)</f>
        <v>0</v>
      </c>
      <c r="H115" s="126" t="n">
        <f aca="false">SUMIF($D$33:$D$52,C115,$G$33:$G$52)+SUMIF($D$56:$D$75,C115,$G$56:$G$75)+SUMIF($D$79:$D$96,C115,$G$79:$G$96)</f>
        <v>0</v>
      </c>
      <c r="I115" s="127" t="n">
        <f aca="false">SUMIF($D$33:$D$52,C115,$I$33:$I$52)+SUMIF($D$56:$D$75,C115,$I$56:$I$75)+SUMIF($D$79:$D$96,C115,$I$79:$I$96)</f>
        <v>0</v>
      </c>
      <c r="J115" s="127" t="n">
        <f aca="false">SUMIF($D$33:$D$52,C115,$J$33:$J$52)+SUMIF($D$56:$D$75,C115,$J$56:$J$75)+SUMIF($D$79:$D$98,C115,$J$79:$J$98)</f>
        <v>0</v>
      </c>
      <c r="K115" s="127" t="n">
        <f aca="false">SUMIF($D$33:$D$52,C115,$H$33:$H$52)+SUMIF($D$56:$D$75,C115,$H$56:$H$75)+SUMIF($D$79:$D$96,C115,$H$79:$H$96)</f>
        <v>0</v>
      </c>
    </row>
    <row r="116" customFormat="false" ht="15" hidden="false" customHeight="false" outlineLevel="0" collapsed="false">
      <c r="C116" s="122" t="str">
        <f aca="false" t="array" ref="C116:C116">IF(ROWS(C$103:C116)&gt;$C$122,"",INDEX($G$8:$G$27,SMALL(IF(FREQUENCY(MATCH($G$8:$G$27,$G$8:$G$27,0),ROW($K$8:$K$27)-ROW($K$8)+1),ROW($K$8:$K$27)-ROW($K$8)+1),ROWS(C$103:C116))))</f>
        <v/>
      </c>
      <c r="D116" s="123" t="n">
        <f aca="false">SUMIF($D$33:$D$52,C116,$F$33:$F$52)</f>
        <v>0</v>
      </c>
      <c r="E116" s="123" t="n">
        <f aca="false">SUMIF(D70:D88,C116,F70:F88)</f>
        <v>0</v>
      </c>
      <c r="F116" s="124" t="n">
        <f aca="false">SUMIF(D92:D112,C116,F92:F112)</f>
        <v>0</v>
      </c>
      <c r="G116" s="125" t="n">
        <f aca="false">SUM(D116:F116)</f>
        <v>0</v>
      </c>
      <c r="H116" s="126" t="n">
        <f aca="false">SUMIF($D$33:$D$52,C116,$G$33:$G$52)+SUMIF($D$56:$D$75,C116,$G$56:$G$75)+SUMIF($D$79:$D$96,C116,$G$79:$G$96)</f>
        <v>0</v>
      </c>
      <c r="I116" s="127" t="n">
        <f aca="false">SUMIF($D$33:$D$52,C116,$I$33:$I$52)+SUMIF($D$56:$D$75,C116,$I$56:$I$75)+SUMIF($D$79:$D$96,C116,$I$79:$I$96)</f>
        <v>0</v>
      </c>
      <c r="J116" s="127" t="n">
        <f aca="false">SUMIF($D$33:$D$52,C116,$J$33:$J$52)+SUMIF($D$56:$D$75,C116,$J$56:$J$75)+SUMIF($D$79:$D$98,C116,$J$79:$J$98)</f>
        <v>0</v>
      </c>
      <c r="K116" s="127" t="n">
        <f aca="false">SUMIF($D$33:$D$52,C116,$H$33:$H$52)+SUMIF($D$56:$D$75,C116,$H$56:$H$75)+SUMIF($D$79:$D$96,C116,$H$79:$H$96)</f>
        <v>0</v>
      </c>
    </row>
    <row r="117" customFormat="false" ht="15" hidden="false" customHeight="false" outlineLevel="0" collapsed="false">
      <c r="C117" s="122" t="str">
        <f aca="false" t="array" ref="C117:C117">IF(ROWS(C$103:C117)&gt;$C$122,"",INDEX($G$8:$G$27,SMALL(IF(FREQUENCY(MATCH($G$8:$G$27,$G$8:$G$27,0),ROW($K$8:$K$27)-ROW($K$8)+1),ROW($K$8:$K$27)-ROW($K$8)+1),ROWS(C$103:C117))))</f>
        <v/>
      </c>
      <c r="D117" s="123" t="n">
        <f aca="false">SUMIF($D$33:$D$52,C117,$F$33:$F$52)</f>
        <v>0</v>
      </c>
      <c r="E117" s="123" t="n">
        <f aca="false">SUMIF(D72:D89,C117,F72:F89)</f>
        <v>0</v>
      </c>
      <c r="F117" s="124" t="n">
        <f aca="false">SUMIF(D93:D113,C117,F93:F113)</f>
        <v>0</v>
      </c>
      <c r="G117" s="125" t="n">
        <f aca="false">SUM(D117:F117)</f>
        <v>0</v>
      </c>
      <c r="H117" s="126" t="n">
        <f aca="false">SUMIF($D$33:$D$52,C117,$G$33:$G$52)+SUMIF($D$56:$D$75,C117,$G$56:$G$75)+SUMIF($D$79:$D$96,C117,$G$79:$G$96)</f>
        <v>0</v>
      </c>
      <c r="I117" s="127" t="n">
        <f aca="false">SUMIF($D$33:$D$52,C117,$I$33:$I$52)+SUMIF($D$56:$D$75,C117,$I$56:$I$75)+SUMIF($D$79:$D$96,C117,$I$79:$I$96)</f>
        <v>0</v>
      </c>
      <c r="J117" s="127" t="n">
        <f aca="false">SUMIF($D$33:$D$52,C117,$J$33:$J$52)+SUMIF($D$56:$D$75,C117,$J$56:$J$75)+SUMIF($D$79:$D$98,C117,$J$79:$J$98)</f>
        <v>0</v>
      </c>
      <c r="K117" s="127" t="n">
        <f aca="false">SUMIF($D$33:$D$52,C117,$H$33:$H$52)+SUMIF($D$56:$D$75,C117,$H$56:$H$75)+SUMIF($D$79:$D$96,C117,$H$79:$H$96)</f>
        <v>0</v>
      </c>
    </row>
    <row r="118" customFormat="false" ht="15" hidden="false" customHeight="false" outlineLevel="0" collapsed="false">
      <c r="C118" s="122" t="str">
        <f aca="false" t="array" ref="C118:C118">IF(ROWS(C$103:C118)&gt;$C$122,"",INDEX($G$8:$G$27,SMALL(IF(FREQUENCY(MATCH($G$8:$G$27,$G$8:$G$27,0),ROW($K$8:$K$27)-ROW($K$8)+1),ROW($K$8:$K$27)-ROW($K$8)+1),ROWS(C$103:C118))))</f>
        <v/>
      </c>
      <c r="D118" s="123" t="n">
        <f aca="false">SUMIF($D$33:$D$52,C118,$F$33:$F$52)</f>
        <v>0</v>
      </c>
      <c r="E118" s="123" t="n">
        <f aca="false">SUMIF(D73:D90,C118,F73:F90)</f>
        <v>0</v>
      </c>
      <c r="F118" s="124" t="n">
        <f aca="false">SUMIF(D94:D114,C118,F94:F114)</f>
        <v>0</v>
      </c>
      <c r="G118" s="129" t="n">
        <f aca="false">SUM(D118:F118)</f>
        <v>0</v>
      </c>
      <c r="H118" s="126" t="n">
        <f aca="false">SUMIF($D$33:$D$52,C118,$G$33:$G$52)+SUMIF($D$56:$D$75,C118,$G$56:$G$75)+SUMIF($D$79:$D$96,C118,$G$79:$G$96)</f>
        <v>0</v>
      </c>
      <c r="I118" s="127" t="n">
        <f aca="false">SUMIF($D$33:$D$52,C118,$I$33:$I$52)+SUMIF($D$56:$D$75,C118,$I$56:$I$75)+SUMIF($D$79:$D$96,C118,$I$79:$I$96)</f>
        <v>0</v>
      </c>
      <c r="J118" s="127" t="n">
        <f aca="false">SUMIF($D$33:$D$52,C118,$J$33:$J$52)+SUMIF($D$56:$D$75,C118,$J$56:$J$75)+SUMIF($D$79:$D$98,C118,$J$79:$J$98)</f>
        <v>0</v>
      </c>
      <c r="K118" s="127" t="n">
        <f aca="false">SUMIF($D$33:$D$52,C118,$H$33:$H$52)+SUMIF($D$56:$D$75,C118,$H$56:$H$75)+SUMIF($D$79:$D$96,C118,$H$79:$H$96)</f>
        <v>0</v>
      </c>
    </row>
    <row r="119" customFormat="false" ht="15" hidden="false" customHeight="false" outlineLevel="0" collapsed="false">
      <c r="C119" s="130" t="s">
        <v>79</v>
      </c>
      <c r="D119" s="131" t="n">
        <f aca="false">SUM(D103:D118)</f>
        <v>277.56672</v>
      </c>
      <c r="E119" s="131" t="n">
        <f aca="false">SUM(E103:E118)</f>
        <v>526.731264</v>
      </c>
      <c r="F119" s="132" t="n">
        <f aca="false">SUM(F103:F118)</f>
        <v>472.508928</v>
      </c>
      <c r="G119" s="133" t="n">
        <f aca="false">SUM(G103:G118)</f>
        <v>1276.806912</v>
      </c>
      <c r="H119" s="133" t="n">
        <f aca="false">SUM(H103:H118)</f>
        <v>244.4197</v>
      </c>
      <c r="I119" s="133" t="n">
        <f aca="false">SUM(I103:I118)</f>
        <v>5.33</v>
      </c>
      <c r="J119" s="133" t="n">
        <f aca="false">SUM(J103:J118)</f>
        <v>1027.057212</v>
      </c>
      <c r="K119" s="133" t="n">
        <f aca="false">SUM(K103:K118)</f>
        <v>87.29</v>
      </c>
    </row>
    <row r="121" customFormat="false" ht="15" hidden="false" customHeight="false" outlineLevel="0" collapsed="false">
      <c r="C121" s="134"/>
    </row>
    <row r="122" customFormat="false" ht="15" hidden="false" customHeight="false" outlineLevel="0" collapsed="false">
      <c r="C122" s="135" t="n">
        <f aca="false">SUMPRODUCT(1/COUNTIF(G8:G27,G8:G27))</f>
        <v>4</v>
      </c>
    </row>
    <row r="123" customFormat="false" ht="15" hidden="false" customHeight="false" outlineLevel="0" collapsed="false">
      <c r="C123" s="134"/>
    </row>
    <row r="124" customFormat="false" ht="15" hidden="false" customHeight="false" outlineLevel="0" collapsed="false">
      <c r="C124" s="134"/>
    </row>
    <row r="126" customFormat="false" ht="15" hidden="false" customHeight="false" outlineLevel="0" collapsed="false">
      <c r="C126" s="8" t="s">
        <v>80</v>
      </c>
      <c r="D126" s="136" t="str">
        <f aca="false">D3</f>
        <v>MANUTENZIONE ORDINARIA SEGNALETICA VERTICALE E ORIZZONTALE 2026_2027</v>
      </c>
      <c r="E126" s="136"/>
      <c r="F126" s="136"/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</row>
    <row r="127" customFormat="false" ht="15" hidden="false" customHeight="false" outlineLevel="0" collapsed="false">
      <c r="C127" s="8" t="s">
        <v>2</v>
      </c>
      <c r="D127" s="8" t="str">
        <f aca="false">D4</f>
        <v>---</v>
      </c>
    </row>
    <row r="128" customFormat="false" ht="15" hidden="false" customHeight="false" outlineLevel="0" collapsed="false">
      <c r="C128" s="8" t="s">
        <v>4</v>
      </c>
      <c r="D128" s="8" t="str">
        <f aca="false">D5</f>
        <v>BCCBDF0B1F</v>
      </c>
    </row>
    <row r="129" customFormat="false" ht="15" hidden="false" customHeight="false" outlineLevel="0" collapsed="false">
      <c r="G129" s="114" t="s">
        <v>8</v>
      </c>
      <c r="H129" s="115" t="s">
        <v>72</v>
      </c>
      <c r="I129" s="116" t="s">
        <v>70</v>
      </c>
      <c r="J129" s="137" t="s">
        <v>74</v>
      </c>
      <c r="K129" s="138" t="s">
        <v>60</v>
      </c>
      <c r="L129" s="137" t="s">
        <v>62</v>
      </c>
      <c r="M129" s="137" t="s">
        <v>81</v>
      </c>
      <c r="N129" s="121" t="s">
        <v>75</v>
      </c>
    </row>
    <row r="130" customFormat="false" ht="15" hidden="false" customHeight="false" outlineLevel="0" collapsed="false">
      <c r="G130" s="139" t="str">
        <f aca="false">C103</f>
        <v>LEONE Luca</v>
      </c>
      <c r="H130" s="139" t="n">
        <f aca="false">D103</f>
        <v>251.74656</v>
      </c>
      <c r="I130" s="139" t="n">
        <f aca="false">E103</f>
        <v>391.175424</v>
      </c>
      <c r="J130" s="139" t="n">
        <f aca="false">SUM(H130:I130)</f>
        <v>642.921984</v>
      </c>
      <c r="K130" s="139" t="n">
        <f aca="false">SUMIF($D$33:$D$52,G130,$G$33:$G$52)+SUMIF($D$56:$D$75,G130,$G$56:$G$75)</f>
        <v>123.2599</v>
      </c>
      <c r="L130" s="139" t="n">
        <f aca="false">SUMIF($D$33:$D$52,G130,$I$33:$I$52)+SUMIF($D$56:$D$75,G130,$I$56:$I$75)</f>
        <v>1.71</v>
      </c>
      <c r="M130" s="139" t="n">
        <f aca="false">SUMIF($D$33:$D$52,G130,$J$33:$J$52)+SUMIF($D$56:$D$75,G130,$J$56:$J$75)</f>
        <v>517.952084</v>
      </c>
      <c r="N130" s="139" t="n">
        <f aca="false">SUMIF($D$33:$D$52,G130,$H$33:$H$52)+SUMIF($D$56:$D$75,G130,$H$56:$H$75)</f>
        <v>44.021</v>
      </c>
    </row>
    <row r="131" customFormat="false" ht="15" hidden="false" customHeight="false" outlineLevel="0" collapsed="false">
      <c r="G131" s="139" t="str">
        <f aca="false">C104</f>
        <v>TROIANI Claudia</v>
      </c>
      <c r="H131" s="139" t="n">
        <f aca="false">D104</f>
        <v>25.82016</v>
      </c>
      <c r="I131" s="139" t="n">
        <f aca="false">E104</f>
        <v>135.55584</v>
      </c>
      <c r="J131" s="139" t="n">
        <f aca="false">SUM(H131:I131)</f>
        <v>161.376</v>
      </c>
      <c r="K131" s="139" t="n">
        <f aca="false">SUMIF($D$33:$D$52,G131,$G$33:$G$52)+SUMIF($D$56:$D$75,G131,$G$56:$G$75)</f>
        <v>30.9387</v>
      </c>
      <c r="L131" s="139" t="n">
        <f aca="false">SUMIF($D$33:$D$52,G131,$I$33:$I$52)+SUMIF($D$56:$D$75,G131,$I$56:$I$75)</f>
        <v>0.43</v>
      </c>
      <c r="M131" s="139" t="n">
        <f aca="false">SUMIF($D$33:$D$52,G131,$J$33:$J$52)+SUMIF($D$56:$D$75,G131,$J$56:$J$75)</f>
        <v>130.0073</v>
      </c>
      <c r="N131" s="139" t="n">
        <f aca="false">SUMIF($D$33:$D$52,G131,$H$33:$H$52)+SUMIF($D$56:$D$75,G131,$H$56:$H$75)</f>
        <v>11.048</v>
      </c>
    </row>
    <row r="132" customFormat="false" ht="15" hidden="false" customHeight="false" outlineLevel="0" collapsed="false">
      <c r="C132" s="140" t="s">
        <v>82</v>
      </c>
      <c r="D132" s="140"/>
      <c r="E132" s="20" t="n">
        <f aca="false">D11</f>
        <v>336.953088</v>
      </c>
      <c r="G132" s="139" t="str">
        <f aca="false">C105</f>
        <v>-</v>
      </c>
      <c r="H132" s="139" t="n">
        <f aca="false">D105</f>
        <v>0</v>
      </c>
      <c r="I132" s="139" t="n">
        <f aca="false">E105</f>
        <v>0</v>
      </c>
      <c r="J132" s="139" t="n">
        <f aca="false">SUM(H132:I132)</f>
        <v>0</v>
      </c>
      <c r="K132" s="139" t="n">
        <f aca="false">SUMIF($D$33:$D$52,G132,$G$33:$G$52)+SUMIF($D$56:$D$75,G132,$G$56:$G$75)</f>
        <v>0</v>
      </c>
      <c r="L132" s="139" t="n">
        <f aca="false">SUMIF($D$33:$D$52,G132,$I$33:$I$52)+SUMIF($D$56:$D$75,G132,$I$56:$I$75)</f>
        <v>0</v>
      </c>
      <c r="M132" s="139" t="n">
        <f aca="false">SUMIF($D$33:$D$52,G132,$J$33:$J$52)+SUMIF($D$56:$D$75,G132,$J$56:$J$75)</f>
        <v>0</v>
      </c>
      <c r="N132" s="139" t="n">
        <f aca="false">SUMIF($D$33:$D$52,G132,$H$33:$H$52)+SUMIF($D$56:$D$75,G132,$H$56:$H$75)</f>
        <v>0</v>
      </c>
    </row>
    <row r="133" customFormat="false" ht="15" hidden="false" customHeight="false" outlineLevel="0" collapsed="false">
      <c r="C133" s="140" t="s">
        <v>83</v>
      </c>
      <c r="D133" s="140"/>
      <c r="E133" s="20" t="n">
        <f aca="false">D13</f>
        <v>1276.806912</v>
      </c>
      <c r="G133" s="139" t="str">
        <f aca="false">C106</f>
        <v>LOIACONO Graziana</v>
      </c>
      <c r="H133" s="139" t="n">
        <f aca="false">D106</f>
        <v>0</v>
      </c>
      <c r="I133" s="139" t="n">
        <f aca="false">E106</f>
        <v>0</v>
      </c>
      <c r="J133" s="139" t="n">
        <f aca="false">SUM(H133:I133)</f>
        <v>0</v>
      </c>
      <c r="K133" s="139" t="n">
        <f aca="false">SUMIF($D$33:$D$52,G133,$G$33:$G$52)+SUMIF($D$56:$D$75,G133,$G$56:$G$75)</f>
        <v>0</v>
      </c>
      <c r="L133" s="139" t="n">
        <f aca="false">SUMIF($D$33:$D$52,G133,$I$33:$I$52)+SUMIF($D$56:$D$75,G133,$I$56:$I$75)</f>
        <v>0</v>
      </c>
      <c r="M133" s="139" t="n">
        <f aca="false">SUMIF($D$33:$D$52,G133,$J$33:$J$52)+SUMIF($D$56:$D$75,G133,$J$56:$J$75)</f>
        <v>0</v>
      </c>
      <c r="N133" s="139" t="n">
        <f aca="false">SUMIF($D$33:$D$52,G133,$H$33:$H$52)+SUMIF($D$56:$D$75,G133,$H$56:$H$75)</f>
        <v>0</v>
      </c>
    </row>
    <row r="134" customFormat="false" ht="15" hidden="false" customHeight="false" outlineLevel="0" collapsed="false">
      <c r="C134" s="8" t="s">
        <v>84</v>
      </c>
      <c r="D134" s="8"/>
      <c r="E134" s="20" t="n">
        <f aca="false">J146</f>
        <v>804.297984</v>
      </c>
      <c r="G134" s="139" t="str">
        <f aca="false">C107</f>
        <v/>
      </c>
      <c r="H134" s="139" t="n">
        <f aca="false">D107</f>
        <v>0</v>
      </c>
      <c r="I134" s="139" t="n">
        <f aca="false">E107</f>
        <v>0</v>
      </c>
      <c r="J134" s="139" t="n">
        <f aca="false">SUM(H134:I134)</f>
        <v>0</v>
      </c>
      <c r="K134" s="139" t="n">
        <f aca="false">SUMIF($D$33:$D$52,G134,$G$33:$G$52)+SUMIF($D$56:$D$75,G134,$G$56:$G$75)</f>
        <v>0</v>
      </c>
      <c r="L134" s="139" t="n">
        <f aca="false">SUMIF($D$33:$D$52,G134,$I$33:$I$52)+SUMIF($D$56:$D$75,G134,$I$56:$I$75)</f>
        <v>0</v>
      </c>
      <c r="M134" s="139" t="n">
        <f aca="false">SUMIF($D$33:$D$52,G134,$J$33:$J$52)+SUMIF($D$56:$D$75,G134,$J$56:$J$75)</f>
        <v>0</v>
      </c>
      <c r="N134" s="139" t="n">
        <f aca="false">SUMIF($D$33:$D$52,G134,$H$33:$H$52)+SUMIF($D$56:$D$75,G134,$H$56:$H$75)</f>
        <v>0</v>
      </c>
    </row>
    <row r="135" customFormat="false" ht="15" hidden="false" customHeight="false" outlineLevel="0" collapsed="false">
      <c r="G135" s="139" t="str">
        <f aca="false">C108</f>
        <v/>
      </c>
      <c r="H135" s="139" t="n">
        <f aca="false">D108</f>
        <v>0</v>
      </c>
      <c r="I135" s="139" t="n">
        <f aca="false">E108</f>
        <v>0</v>
      </c>
      <c r="J135" s="139" t="n">
        <f aca="false">SUM(H135:I135)</f>
        <v>0</v>
      </c>
      <c r="K135" s="139" t="n">
        <f aca="false">SUMIF($D$33:$D$52,G135,$G$33:$G$52)+SUMIF($D$56:$D$75,G135,$G$56:$G$75)</f>
        <v>0</v>
      </c>
      <c r="L135" s="139" t="n">
        <f aca="false">SUMIF($D$33:$D$52,G135,$I$33:$I$52)+SUMIF($D$56:$D$75,G135,$I$56:$I$75)</f>
        <v>0</v>
      </c>
      <c r="M135" s="139" t="n">
        <f aca="false">SUMIF($D$33:$D$52,G135,$J$33:$J$52)+SUMIF($D$56:$D$75,G135,$J$56:$J$75)</f>
        <v>0</v>
      </c>
      <c r="N135" s="139" t="n">
        <f aca="false">SUMIF($D$33:$D$52,G135,$H$33:$H$52)+SUMIF($D$56:$D$75,G135,$H$56:$H$75)</f>
        <v>0</v>
      </c>
    </row>
    <row r="136" customFormat="false" ht="15" hidden="false" customHeight="false" outlineLevel="0" collapsed="false">
      <c r="G136" s="139" t="str">
        <f aca="false">C109</f>
        <v/>
      </c>
      <c r="H136" s="139" t="n">
        <f aca="false">D109</f>
        <v>0</v>
      </c>
      <c r="I136" s="139" t="n">
        <f aca="false">E109</f>
        <v>0</v>
      </c>
      <c r="J136" s="139" t="n">
        <f aca="false">SUM(H136:I136)</f>
        <v>0</v>
      </c>
      <c r="K136" s="139" t="n">
        <f aca="false">SUMIF($D$33:$D$52,G136,$G$33:$G$52)+SUMIF($D$56:$D$75,G136,$G$56:$G$75)</f>
        <v>0</v>
      </c>
      <c r="L136" s="139" t="n">
        <f aca="false">SUMIF($D$33:$D$52,G136,$I$33:$I$52)+SUMIF($D$56:$D$75,G136,$I$56:$I$75)</f>
        <v>0</v>
      </c>
      <c r="M136" s="139" t="n">
        <f aca="false">SUMIF($D$33:$D$52,G136,$J$33:$J$52)+SUMIF($D$56:$D$75,G136,$J$56:$J$75)</f>
        <v>0</v>
      </c>
      <c r="N136" s="139" t="n">
        <f aca="false">SUMIF($D$33:$D$52,G136,$H$33:$H$52)+SUMIF($D$56:$D$75,G136,$H$56:$H$75)</f>
        <v>0</v>
      </c>
    </row>
    <row r="137" customFormat="false" ht="15" hidden="false" customHeight="false" outlineLevel="0" collapsed="false">
      <c r="G137" s="139" t="str">
        <f aca="false">C110</f>
        <v/>
      </c>
      <c r="H137" s="139" t="n">
        <f aca="false">D110</f>
        <v>0</v>
      </c>
      <c r="I137" s="139" t="n">
        <f aca="false">E110</f>
        <v>0</v>
      </c>
      <c r="J137" s="139" t="n">
        <f aca="false">SUM(H137:I137)</f>
        <v>0</v>
      </c>
      <c r="K137" s="139" t="n">
        <f aca="false">SUMIF($D$33:$D$52,G137,$G$33:$G$52)+SUMIF($D$56:$D$75,G137,$G$56:$G$75)</f>
        <v>0</v>
      </c>
      <c r="L137" s="139" t="n">
        <f aca="false">SUMIF($D$33:$D$52,G137,$I$33:$I$52)+SUMIF($D$56:$D$75,G137,$I$56:$I$75)</f>
        <v>0</v>
      </c>
      <c r="M137" s="139" t="n">
        <f aca="false">SUMIF($D$33:$D$52,G137,$J$33:$J$52)+SUMIF($D$56:$D$75,G137,$J$56:$J$75)</f>
        <v>0</v>
      </c>
      <c r="N137" s="139" t="n">
        <f aca="false">SUMIF($D$33:$D$52,G137,$H$33:$H$52)+SUMIF($D$56:$D$75,G137,$H$56:$H$75)</f>
        <v>0</v>
      </c>
    </row>
    <row r="138" customFormat="false" ht="15" hidden="false" customHeight="true" outlineLevel="0" collapsed="false">
      <c r="C138" s="141" t="s">
        <v>85</v>
      </c>
      <c r="D138" s="141"/>
      <c r="E138" s="141"/>
      <c r="F138" s="141"/>
      <c r="G138" s="139" t="str">
        <f aca="false">C111</f>
        <v/>
      </c>
      <c r="H138" s="139" t="n">
        <f aca="false">D111</f>
        <v>0</v>
      </c>
      <c r="I138" s="139" t="n">
        <f aca="false">E111</f>
        <v>0</v>
      </c>
      <c r="J138" s="139" t="n">
        <f aca="false">SUM(H138:I138)</f>
        <v>0</v>
      </c>
      <c r="K138" s="139" t="n">
        <f aca="false">SUMIF($D$33:$D$52,G138,$G$33:$G$52)+SUMIF($D$56:$D$75,G138,$G$56:$G$75)</f>
        <v>0</v>
      </c>
      <c r="L138" s="139" t="n">
        <f aca="false">SUMIF($D$33:$D$52,G138,$I$33:$I$52)+SUMIF($D$56:$D$75,G138,$I$56:$I$75)</f>
        <v>0</v>
      </c>
      <c r="M138" s="139" t="n">
        <f aca="false">SUMIF($D$33:$D$52,G138,$J$33:$J$52)+SUMIF($D$56:$D$75,G138,$J$56:$J$75)</f>
        <v>0</v>
      </c>
      <c r="N138" s="139" t="n">
        <f aca="false">SUMIF($D$33:$D$52,G138,$H$33:$H$52)+SUMIF($D$56:$D$75,G138,$H$56:$H$75)</f>
        <v>0</v>
      </c>
    </row>
    <row r="139" customFormat="false" ht="15" hidden="false" customHeight="false" outlineLevel="0" collapsed="false">
      <c r="C139" s="141"/>
      <c r="D139" s="141"/>
      <c r="E139" s="141"/>
      <c r="F139" s="141"/>
      <c r="G139" s="139" t="str">
        <f aca="false">C112</f>
        <v/>
      </c>
      <c r="H139" s="139" t="n">
        <f aca="false">D112</f>
        <v>0</v>
      </c>
      <c r="I139" s="139" t="n">
        <f aca="false">E112</f>
        <v>0</v>
      </c>
      <c r="J139" s="139" t="n">
        <f aca="false">SUM(H139:I139)</f>
        <v>0</v>
      </c>
      <c r="K139" s="139" t="n">
        <f aca="false">SUMIF($D$33:$D$52,G139,$G$33:$G$52)+SUMIF($D$56:$D$75,G139,$G$56:$G$75)</f>
        <v>0</v>
      </c>
      <c r="L139" s="139" t="n">
        <f aca="false">SUMIF($D$33:$D$52,G139,$I$33:$I$52)+SUMIF($D$56:$D$75,G139,$I$56:$I$75)</f>
        <v>0</v>
      </c>
      <c r="M139" s="139" t="n">
        <f aca="false">SUMIF($D$33:$D$52,G139,$J$33:$J$52)+SUMIF($D$56:$D$75,G139,$J$56:$J$75)</f>
        <v>0</v>
      </c>
      <c r="N139" s="139" t="n">
        <f aca="false">SUMIF($D$33:$D$52,G139,$H$33:$H$52)+SUMIF($D$56:$D$75,G139,$H$56:$H$75)</f>
        <v>0</v>
      </c>
    </row>
    <row r="140" customFormat="false" ht="15" hidden="false" customHeight="false" outlineLevel="0" collapsed="false">
      <c r="C140" s="141"/>
      <c r="D140" s="141"/>
      <c r="E140" s="141"/>
      <c r="F140" s="141"/>
      <c r="G140" s="139" t="str">
        <f aca="false">C113</f>
        <v/>
      </c>
      <c r="H140" s="139" t="n">
        <f aca="false">D113</f>
        <v>0</v>
      </c>
      <c r="I140" s="139" t="n">
        <f aca="false">E113</f>
        <v>0</v>
      </c>
      <c r="J140" s="139" t="n">
        <f aca="false">SUM(H140:I140)</f>
        <v>0</v>
      </c>
      <c r="K140" s="139" t="n">
        <f aca="false">SUMIF($D$33:$D$52,G140,$G$33:$G$52)+SUMIF($D$56:$D$75,G140,$G$56:$G$75)</f>
        <v>0</v>
      </c>
      <c r="L140" s="139" t="n">
        <f aca="false">SUMIF($D$33:$D$52,G140,$I$33:$I$52)+SUMIF($D$56:$D$75,G140,$I$56:$I$75)</f>
        <v>0</v>
      </c>
      <c r="M140" s="139" t="n">
        <f aca="false">SUMIF($D$33:$D$52,G140,$J$33:$J$52)+SUMIF($D$56:$D$75,G140,$J$56:$J$75)</f>
        <v>0</v>
      </c>
      <c r="N140" s="139" t="n">
        <f aca="false">SUMIF($D$33:$D$52,G140,$H$33:$H$52)+SUMIF($D$56:$D$75,G140,$H$56:$H$75)</f>
        <v>0</v>
      </c>
      <c r="S140" s="1" t="s">
        <v>76</v>
      </c>
    </row>
    <row r="141" customFormat="false" ht="15" hidden="false" customHeight="false" outlineLevel="0" collapsed="false">
      <c r="C141" s="142"/>
      <c r="D141" s="142"/>
      <c r="E141" s="142"/>
      <c r="F141" s="142"/>
      <c r="G141" s="139" t="str">
        <f aca="false">C114</f>
        <v/>
      </c>
      <c r="H141" s="139" t="n">
        <f aca="false">D114</f>
        <v>0</v>
      </c>
      <c r="I141" s="139" t="n">
        <f aca="false">E114</f>
        <v>0</v>
      </c>
      <c r="J141" s="139" t="n">
        <f aca="false">SUM(H141:I141)</f>
        <v>0</v>
      </c>
      <c r="K141" s="139" t="n">
        <f aca="false">SUMIF($D$33:$D$52,G141,$G$33:$G$52)+SUMIF($D$56:$D$75,G141,$G$56:$G$75)</f>
        <v>0</v>
      </c>
      <c r="L141" s="139" t="n">
        <f aca="false">SUMIF($D$33:$D$52,G141,$I$33:$I$52)+SUMIF($D$56:$D$75,G141,$I$56:$I$75)</f>
        <v>0</v>
      </c>
      <c r="M141" s="139" t="n">
        <f aca="false">SUMIF($D$33:$D$52,G141,$J$33:$J$52)+SUMIF($D$56:$D$75,G141,$J$56:$J$75)</f>
        <v>0</v>
      </c>
      <c r="N141" s="139" t="n">
        <f aca="false">SUMIF($D$33:$D$52,G141,$H$33:$H$52)+SUMIF($D$56:$D$75,G141,$H$56:$H$75)</f>
        <v>0</v>
      </c>
      <c r="S141" s="1" t="s">
        <v>77</v>
      </c>
      <c r="V141" s="128" t="str">
        <f aca="false">G11</f>
        <v>LEONE Luca</v>
      </c>
      <c r="W141" s="128"/>
    </row>
    <row r="142" customFormat="false" ht="15" hidden="false" customHeight="false" outlineLevel="0" collapsed="false">
      <c r="C142" s="142"/>
      <c r="D142" s="142"/>
      <c r="E142" s="142"/>
      <c r="F142" s="142"/>
      <c r="G142" s="139" t="str">
        <f aca="false">C115</f>
        <v/>
      </c>
      <c r="H142" s="139" t="n">
        <f aca="false">D115</f>
        <v>0</v>
      </c>
      <c r="I142" s="139" t="n">
        <f aca="false">E115</f>
        <v>0</v>
      </c>
      <c r="J142" s="139" t="n">
        <f aca="false">SUM(H142:I142)</f>
        <v>0</v>
      </c>
      <c r="K142" s="139" t="n">
        <f aca="false">SUMIF($D$33:$D$52,G142,$G$33:$G$52)+SUMIF($D$56:$D$75,G142,$G$56:$G$75)</f>
        <v>0</v>
      </c>
      <c r="L142" s="139" t="n">
        <f aca="false">SUMIF($D$33:$D$52,G142,$I$33:$I$52)+SUMIF($D$56:$D$75,G142,$I$56:$I$75)</f>
        <v>0</v>
      </c>
      <c r="M142" s="139" t="n">
        <f aca="false">SUMIF($D$33:$D$52,G142,$J$33:$J$52)+SUMIF($D$56:$D$75,G142,$J$56:$J$75)</f>
        <v>0</v>
      </c>
      <c r="N142" s="139" t="n">
        <f aca="false">SUMIF($D$33:$D$52,G142,$H$33:$H$52)+SUMIF($D$56:$D$75,G142,$H$56:$H$75)</f>
        <v>0</v>
      </c>
    </row>
    <row r="143" customFormat="false" ht="15" hidden="false" customHeight="false" outlineLevel="0" collapsed="false">
      <c r="G143" s="139" t="str">
        <f aca="false">C116</f>
        <v/>
      </c>
      <c r="H143" s="139" t="n">
        <f aca="false">D116</f>
        <v>0</v>
      </c>
      <c r="I143" s="139" t="n">
        <f aca="false">E116</f>
        <v>0</v>
      </c>
      <c r="J143" s="139" t="n">
        <f aca="false">SUM(H143:I143)</f>
        <v>0</v>
      </c>
      <c r="K143" s="139" t="n">
        <f aca="false">SUMIF($D$33:$D$52,G143,$G$33:$G$52)+SUMIF($D$56:$D$75,G143,$G$56:$G$75)</f>
        <v>0</v>
      </c>
      <c r="L143" s="139" t="n">
        <f aca="false">SUMIF($D$33:$D$52,G143,$I$33:$I$52)+SUMIF($D$56:$D$75,G143,$I$56:$I$75)</f>
        <v>0</v>
      </c>
      <c r="M143" s="139" t="n">
        <f aca="false">SUMIF($D$33:$D$52,G143,$J$33:$J$52)+SUMIF($D$56:$D$75,G143,$J$56:$J$75)</f>
        <v>0</v>
      </c>
      <c r="N143" s="139" t="n">
        <f aca="false">SUMIF($D$33:$D$52,G143,$H$33:$H$52)+SUMIF($D$56:$D$75,G143,$H$56:$H$75)</f>
        <v>0</v>
      </c>
      <c r="S143" s="1" t="s">
        <v>78</v>
      </c>
    </row>
    <row r="144" customFormat="false" ht="15" hidden="false" customHeight="false" outlineLevel="0" collapsed="false">
      <c r="G144" s="139" t="str">
        <f aca="false">C117</f>
        <v/>
      </c>
      <c r="H144" s="139" t="n">
        <f aca="false">D117</f>
        <v>0</v>
      </c>
      <c r="I144" s="139" t="n">
        <f aca="false">E117</f>
        <v>0</v>
      </c>
      <c r="J144" s="139" t="n">
        <f aca="false">SUM(H144:I144)</f>
        <v>0</v>
      </c>
      <c r="K144" s="139" t="n">
        <f aca="false">SUMIF($D$33:$D$52,G144,$G$33:$G$52)+SUMIF($D$56:$D$75,G144,$G$56:$G$75)</f>
        <v>0</v>
      </c>
      <c r="L144" s="139" t="n">
        <f aca="false">SUMIF($D$33:$D$52,G144,$I$33:$I$52)+SUMIF($D$56:$D$75,G144,$I$56:$I$75)</f>
        <v>0</v>
      </c>
      <c r="M144" s="139" t="n">
        <f aca="false">SUMIF($D$33:$D$52,G144,$J$33:$J$52)+SUMIF($D$56:$D$75,G144,$J$56:$J$75)</f>
        <v>0</v>
      </c>
      <c r="N144" s="139" t="n">
        <f aca="false">SUMIF($D$33:$D$52,G144,$H$33:$H$52)+SUMIF($D$56:$D$75,G144,$H$56:$H$75)</f>
        <v>0</v>
      </c>
    </row>
    <row r="145" customFormat="false" ht="15" hidden="false" customHeight="false" outlineLevel="0" collapsed="false">
      <c r="G145" s="139" t="str">
        <f aca="false">C118</f>
        <v/>
      </c>
      <c r="H145" s="139" t="n">
        <f aca="false">D118</f>
        <v>0</v>
      </c>
      <c r="I145" s="139" t="n">
        <f aca="false">E118</f>
        <v>0</v>
      </c>
      <c r="J145" s="139" t="n">
        <f aca="false">SUM(H145:I145)</f>
        <v>0</v>
      </c>
      <c r="K145" s="139" t="n">
        <f aca="false">SUMIF($D$33:$D$52,G145,$G$33:$G$52)+SUMIF($D$56:$D$75,G145,$G$56:$G$75)</f>
        <v>0</v>
      </c>
      <c r="L145" s="139" t="n">
        <f aca="false">SUMIF($D$33:$D$52,G145,$I$33:$I$52)+SUMIF($D$56:$D$75,G145,$I$56:$I$75)</f>
        <v>0</v>
      </c>
      <c r="M145" s="139" t="n">
        <f aca="false">SUMIF($D$33:$D$52,G145,$J$33:$J$52)+SUMIF($D$56:$D$75,G145,$J$56:$J$75)</f>
        <v>0</v>
      </c>
      <c r="N145" s="139" t="n">
        <f aca="false">SUMIF($D$33:$D$52,G145,$H$33:$H$52)+SUMIF($D$56:$D$75,G145,$H$56:$H$75)</f>
        <v>0</v>
      </c>
    </row>
    <row r="146" customFormat="false" ht="15" hidden="false" customHeight="false" outlineLevel="0" collapsed="false">
      <c r="G146" s="139" t="str">
        <f aca="false">C119</f>
        <v>TOTALE</v>
      </c>
      <c r="H146" s="139" t="n">
        <f aca="false">SUM(H130:H145)</f>
        <v>277.56672</v>
      </c>
      <c r="I146" s="139" t="n">
        <f aca="false">SUM(I130:I145)</f>
        <v>526.731264</v>
      </c>
      <c r="J146" s="139" t="n">
        <f aca="false">SUM(J130:J145)</f>
        <v>804.297984</v>
      </c>
      <c r="K146" s="139" t="n">
        <f aca="false">SUM(K130:K145)</f>
        <v>154.1986</v>
      </c>
      <c r="L146" s="139" t="n">
        <f aca="false">SUM(L130:L145)</f>
        <v>2.14</v>
      </c>
      <c r="M146" s="139" t="n">
        <f aca="false">SUM(M130:M145)</f>
        <v>647.959384</v>
      </c>
      <c r="N146" s="139" t="n">
        <f aca="false">SUM(N130:N145)</f>
        <v>55.069</v>
      </c>
    </row>
    <row r="147" customFormat="false" ht="15" hidden="false" customHeight="false" outlineLevel="0" collapsed="false">
      <c r="G147" s="143"/>
      <c r="H147" s="143"/>
      <c r="I147" s="143"/>
      <c r="J147" s="143"/>
      <c r="K147" s="143"/>
      <c r="L147" s="143"/>
      <c r="M147" s="143"/>
      <c r="N147" s="143"/>
      <c r="O147" s="143"/>
      <c r="P147" s="143"/>
    </row>
    <row r="148" customFormat="false" ht="15" hidden="false" customHeight="false" outlineLevel="0" collapsed="false">
      <c r="G148" s="143"/>
      <c r="H148" s="143"/>
      <c r="I148" s="143"/>
      <c r="J148" s="143"/>
      <c r="K148" s="143"/>
      <c r="L148" s="143"/>
      <c r="M148" s="143"/>
      <c r="N148" s="143"/>
      <c r="O148" s="143"/>
      <c r="P148" s="143"/>
    </row>
    <row r="150" customFormat="false" ht="15" hidden="false" customHeight="false" outlineLevel="0" collapsed="false">
      <c r="C150" s="8" t="s">
        <v>80</v>
      </c>
      <c r="D150" s="136" t="str">
        <f aca="false">D126</f>
        <v>MANUTENZIONE ORDINARIA SEGNALETICA VERTICALE E ORIZZONTALE 2026_2027</v>
      </c>
      <c r="E150" s="136"/>
      <c r="F150" s="136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</row>
    <row r="151" customFormat="false" ht="15" hidden="false" customHeight="false" outlineLevel="0" collapsed="false">
      <c r="C151" s="8" t="s">
        <v>2</v>
      </c>
      <c r="D151" s="100" t="str">
        <f aca="false">D127</f>
        <v>---</v>
      </c>
    </row>
    <row r="152" customFormat="false" ht="15" hidden="false" customHeight="false" outlineLevel="0" collapsed="false">
      <c r="C152" s="8" t="s">
        <v>4</v>
      </c>
      <c r="D152" s="8" t="str">
        <f aca="false">D128</f>
        <v>BCCBDF0B1F</v>
      </c>
    </row>
    <row r="153" customFormat="false" ht="15" hidden="false" customHeight="false" outlineLevel="0" collapsed="false">
      <c r="G153" s="144" t="s">
        <v>8</v>
      </c>
      <c r="H153" s="110" t="s">
        <v>73</v>
      </c>
      <c r="I153" s="138" t="s">
        <v>74</v>
      </c>
      <c r="J153" s="138" t="s">
        <v>60</v>
      </c>
      <c r="K153" s="138" t="s">
        <v>62</v>
      </c>
      <c r="L153" s="138" t="s">
        <v>81</v>
      </c>
      <c r="M153" s="121" t="s">
        <v>75</v>
      </c>
    </row>
    <row r="154" customFormat="false" ht="15" hidden="false" customHeight="false" outlineLevel="0" collapsed="false">
      <c r="C154" s="145" t="s">
        <v>82</v>
      </c>
      <c r="D154" s="145"/>
      <c r="E154" s="146" t="n">
        <f aca="false">+E132</f>
        <v>336.953088</v>
      </c>
      <c r="G154" s="139" t="str">
        <f aca="false">C103</f>
        <v>LEONE Luca</v>
      </c>
      <c r="H154" s="139" t="n">
        <f aca="false">F103</f>
        <v>59.386368</v>
      </c>
      <c r="I154" s="139" t="n">
        <f aca="false">H154</f>
        <v>59.386368</v>
      </c>
      <c r="J154" s="139" t="n">
        <f aca="false">SUMIF($D$78:$D$98,G154,$G$78:$G$98)</f>
        <v>11.3854</v>
      </c>
      <c r="K154" s="139" t="n">
        <f aca="false">SUMIF($D$78:$D$98,G154,$I$78:$I$98)</f>
        <v>0.16</v>
      </c>
      <c r="L154" s="139" t="n">
        <f aca="false">SUMIF($D$79:$D$98,G154,$J$79:$J$98)</f>
        <v>47.840968</v>
      </c>
      <c r="M154" s="139" t="n">
        <f aca="false">SUMIF($D$78:$D$98,G154,$H$78:$H$98)</f>
        <v>4.066</v>
      </c>
    </row>
    <row r="155" customFormat="false" ht="15" hidden="false" customHeight="false" outlineLevel="0" collapsed="false">
      <c r="C155" s="145" t="s">
        <v>83</v>
      </c>
      <c r="D155" s="145"/>
      <c r="E155" s="146" t="n">
        <f aca="false">+E133</f>
        <v>1276.806912</v>
      </c>
      <c r="G155" s="139" t="str">
        <f aca="false">C104</f>
        <v>TROIANI Claudia</v>
      </c>
      <c r="H155" s="139" t="n">
        <f aca="false">F104</f>
        <v>90.37056</v>
      </c>
      <c r="I155" s="139" t="n">
        <f aca="false">H155</f>
        <v>90.37056</v>
      </c>
      <c r="J155" s="139" t="n">
        <f aca="false">SUMIF($D$78:$D$98,G155,$G$78:$G$98)</f>
        <v>17.3257</v>
      </c>
      <c r="K155" s="139" t="n">
        <f aca="false">SUMIF($D$78:$D$98,G155,$I$78:$I$98)</f>
        <v>0.24</v>
      </c>
      <c r="L155" s="139" t="n">
        <f aca="false">SUMIF($D$79:$D$98,G155,$J$79:$J$98)</f>
        <v>72.80486</v>
      </c>
      <c r="M155" s="139" t="n">
        <f aca="false">SUMIF($D$78:$D$98,G155,$H$78:$H$98)</f>
        <v>6.187</v>
      </c>
    </row>
    <row r="156" customFormat="false" ht="15" hidden="false" customHeight="false" outlineLevel="0" collapsed="false">
      <c r="C156" s="147" t="s">
        <v>84</v>
      </c>
      <c r="D156" s="147"/>
      <c r="E156" s="146" t="n">
        <f aca="false">+E134</f>
        <v>804.297984</v>
      </c>
      <c r="G156" s="139" t="str">
        <f aca="false">C105</f>
        <v>-</v>
      </c>
      <c r="H156" s="139" t="n">
        <f aca="false">F105</f>
        <v>0</v>
      </c>
      <c r="I156" s="139" t="n">
        <f aca="false">H156</f>
        <v>0</v>
      </c>
      <c r="J156" s="139" t="n">
        <f aca="false">SUMIF($D$78:$D$98,G156,$G$78:$G$98)</f>
        <v>0</v>
      </c>
      <c r="K156" s="139" t="n">
        <f aca="false">SUMIF($D$78:$D$98,G156,$I$78:$I$98)</f>
        <v>0</v>
      </c>
      <c r="L156" s="139" t="n">
        <f aca="false">SUMIF($D$79:$D$98,G156,$J$79:$J$98)</f>
        <v>0</v>
      </c>
      <c r="M156" s="139" t="n">
        <f aca="false">SUMIF($D$78:$D$98,G156,$H$78:$H$98)</f>
        <v>0</v>
      </c>
    </row>
    <row r="157" customFormat="false" ht="15" hidden="false" customHeight="false" outlineLevel="0" collapsed="false">
      <c r="C157" s="147" t="s">
        <v>86</v>
      </c>
      <c r="D157" s="147"/>
      <c r="E157" s="146" t="n">
        <f aca="false">E155-E156</f>
        <v>472.508928</v>
      </c>
      <c r="G157" s="139" t="str">
        <f aca="false">C106</f>
        <v>LOIACONO Graziana</v>
      </c>
      <c r="H157" s="139" t="n">
        <f aca="false">F106</f>
        <v>322.752</v>
      </c>
      <c r="I157" s="139" t="n">
        <f aca="false">H157</f>
        <v>322.752</v>
      </c>
      <c r="J157" s="139" t="n">
        <f aca="false">SUMIF($D$78:$D$98,G157,$G$78:$G$98)</f>
        <v>61.51</v>
      </c>
      <c r="K157" s="139" t="n">
        <f aca="false">SUMIF($D$78:$D$98,G157,$I$78:$I$98)</f>
        <v>2.79</v>
      </c>
      <c r="L157" s="139" t="n">
        <f aca="false">SUMIF($D$79:$D$98,G157,$J$79:$J$98)</f>
        <v>258.452</v>
      </c>
      <c r="M157" s="139" t="n">
        <f aca="false">SUMIF($D$78:$D$98,G157,$H$78:$H$98)</f>
        <v>21.968</v>
      </c>
    </row>
    <row r="158" customFormat="false" ht="15" hidden="false" customHeight="false" outlineLevel="0" collapsed="false">
      <c r="G158" s="139" t="str">
        <f aca="false">C107</f>
        <v/>
      </c>
      <c r="H158" s="139" t="n">
        <f aca="false">F107</f>
        <v>0</v>
      </c>
      <c r="I158" s="139" t="n">
        <f aca="false">H158</f>
        <v>0</v>
      </c>
      <c r="J158" s="139" t="n">
        <f aca="false">SUMIF($D$78:$D$98,G158,$G$78:$G$98)</f>
        <v>0</v>
      </c>
      <c r="K158" s="139" t="n">
        <f aca="false">SUMIF($D$78:$D$98,G158,$I$78:$I$98)</f>
        <v>0</v>
      </c>
      <c r="L158" s="139" t="n">
        <f aca="false">SUMIF($D$79:$D$98,G158,$J$79:$J$98)</f>
        <v>0</v>
      </c>
      <c r="M158" s="139" t="n">
        <f aca="false">SUMIF($D$78:$D$98,G158,$H$78:$H$98)</f>
        <v>0</v>
      </c>
    </row>
    <row r="159" customFormat="false" ht="15" hidden="false" customHeight="false" outlineLevel="0" collapsed="false">
      <c r="G159" s="139" t="str">
        <f aca="false">C108</f>
        <v/>
      </c>
      <c r="H159" s="139" t="n">
        <f aca="false">F108</f>
        <v>0</v>
      </c>
      <c r="I159" s="139" t="n">
        <f aca="false">H159</f>
        <v>0</v>
      </c>
      <c r="J159" s="139" t="n">
        <f aca="false">SUMIF($D$78:$D$98,G159,$G$78:$G$98)</f>
        <v>0</v>
      </c>
      <c r="K159" s="139" t="n">
        <f aca="false">SUMIF($D$78:$D$98,G159,$I$78:$I$98)</f>
        <v>0</v>
      </c>
      <c r="L159" s="139" t="n">
        <f aca="false">SUMIF($D$79:$D$98,G159,$J$79:$J$98)</f>
        <v>0</v>
      </c>
      <c r="M159" s="139" t="n">
        <f aca="false">SUMIF($D$78:$D$98,G159,$H$78:$H$98)</f>
        <v>0</v>
      </c>
    </row>
    <row r="160" customFormat="false" ht="15" hidden="false" customHeight="false" outlineLevel="0" collapsed="false">
      <c r="G160" s="139" t="str">
        <f aca="false">C109</f>
        <v/>
      </c>
      <c r="H160" s="139" t="n">
        <f aca="false">F109</f>
        <v>0</v>
      </c>
      <c r="I160" s="139" t="n">
        <f aca="false">H160</f>
        <v>0</v>
      </c>
      <c r="J160" s="139" t="n">
        <f aca="false">SUMIF($D$78:$D$98,G160,$G$78:$G$98)</f>
        <v>0</v>
      </c>
      <c r="K160" s="139" t="n">
        <f aca="false">SUMIF($D$78:$D$98,G160,$I$78:$I$98)</f>
        <v>0</v>
      </c>
      <c r="L160" s="139" t="n">
        <f aca="false">SUMIF($D$79:$D$98,G160,$J$79:$J$98)</f>
        <v>0</v>
      </c>
      <c r="M160" s="139" t="n">
        <f aca="false">SUMIF($D$78:$D$98,G160,$H$78:$H$98)</f>
        <v>0</v>
      </c>
    </row>
    <row r="161" customFormat="false" ht="15" hidden="false" customHeight="true" outlineLevel="0" collapsed="false">
      <c r="C161" s="141" t="s">
        <v>85</v>
      </c>
      <c r="D161" s="141"/>
      <c r="E161" s="141"/>
      <c r="F161" s="141"/>
      <c r="G161" s="139" t="str">
        <f aca="false">C110</f>
        <v/>
      </c>
      <c r="H161" s="139" t="n">
        <f aca="false">F110</f>
        <v>0</v>
      </c>
      <c r="I161" s="139" t="n">
        <f aca="false">H161</f>
        <v>0</v>
      </c>
      <c r="J161" s="139" t="n">
        <f aca="false">SUMIF($D$78:$D$98,G161,$G$78:$G$98)</f>
        <v>0</v>
      </c>
      <c r="K161" s="139" t="n">
        <f aca="false">SUMIF($D$78:$D$98,G161,$I$78:$I$98)</f>
        <v>0</v>
      </c>
      <c r="L161" s="139" t="n">
        <f aca="false">SUMIF($D$79:$D$98,G161,$J$79:$J$98)</f>
        <v>0</v>
      </c>
      <c r="M161" s="139" t="n">
        <f aca="false">SUMIF($D$78:$D$98,G161,$H$78:$H$98)</f>
        <v>0</v>
      </c>
    </row>
    <row r="162" customFormat="false" ht="15" hidden="false" customHeight="false" outlineLevel="0" collapsed="false">
      <c r="C162" s="141"/>
      <c r="D162" s="141"/>
      <c r="E162" s="141"/>
      <c r="F162" s="141"/>
      <c r="G162" s="139" t="str">
        <f aca="false">C111</f>
        <v/>
      </c>
      <c r="H162" s="139" t="n">
        <f aca="false">F111</f>
        <v>0</v>
      </c>
      <c r="I162" s="139" t="n">
        <f aca="false">H162</f>
        <v>0</v>
      </c>
      <c r="J162" s="139" t="n">
        <f aca="false">SUMIF($D$78:$D$98,G162,$G$78:$G$98)</f>
        <v>0</v>
      </c>
      <c r="K162" s="139" t="n">
        <f aca="false">SUMIF($D$78:$D$98,G162,$I$78:$I$98)</f>
        <v>0</v>
      </c>
      <c r="L162" s="139" t="n">
        <f aca="false">SUMIF($D$79:$D$98,G162,$J$79:$J$98)</f>
        <v>0</v>
      </c>
      <c r="M162" s="139" t="n">
        <f aca="false">SUMIF($D$78:$D$98,G162,$H$78:$H$98)</f>
        <v>0</v>
      </c>
    </row>
    <row r="163" customFormat="false" ht="15" hidden="false" customHeight="false" outlineLevel="0" collapsed="false">
      <c r="C163" s="141"/>
      <c r="D163" s="141"/>
      <c r="E163" s="141"/>
      <c r="F163" s="141"/>
      <c r="G163" s="139" t="str">
        <f aca="false">C112</f>
        <v/>
      </c>
      <c r="H163" s="139" t="n">
        <f aca="false">F112</f>
        <v>0</v>
      </c>
      <c r="I163" s="139" t="n">
        <f aca="false">H163</f>
        <v>0</v>
      </c>
      <c r="J163" s="139" t="n">
        <f aca="false">SUMIF($D$78:$D$98,G163,$G$78:$G$98)</f>
        <v>0</v>
      </c>
      <c r="K163" s="139" t="n">
        <f aca="false">SUMIF($D$78:$D$98,G163,$I$78:$I$98)</f>
        <v>0</v>
      </c>
      <c r="L163" s="139" t="n">
        <f aca="false">SUMIF($D$79:$D$98,G163,$J$79:$J$98)</f>
        <v>0</v>
      </c>
      <c r="M163" s="139" t="n">
        <f aca="false">SUMIF($D$78:$D$98,G163,$H$78:$H$98)</f>
        <v>0</v>
      </c>
      <c r="S163" s="1" t="s">
        <v>76</v>
      </c>
    </row>
    <row r="164" customFormat="false" ht="15" hidden="false" customHeight="false" outlineLevel="0" collapsed="false">
      <c r="G164" s="139" t="str">
        <f aca="false">C113</f>
        <v/>
      </c>
      <c r="H164" s="139" t="n">
        <f aca="false">F113</f>
        <v>0</v>
      </c>
      <c r="I164" s="139" t="n">
        <f aca="false">H164</f>
        <v>0</v>
      </c>
      <c r="J164" s="139" t="n">
        <f aca="false">SUMIF($D$78:$D$98,G164,$G$78:$G$98)</f>
        <v>0</v>
      </c>
      <c r="K164" s="139" t="n">
        <f aca="false">SUMIF($D$78:$D$98,G164,$I$78:$I$98)</f>
        <v>0</v>
      </c>
      <c r="L164" s="139" t="n">
        <f aca="false">SUMIF($D$79:$D$98,G164,$J$79:$J$98)</f>
        <v>0</v>
      </c>
      <c r="M164" s="139" t="n">
        <f aca="false">SUMIF($D$78:$D$98,G164,$H$78:$H$98)</f>
        <v>0</v>
      </c>
      <c r="S164" s="1" t="s">
        <v>77</v>
      </c>
      <c r="V164" s="128" t="str">
        <f aca="false">V141</f>
        <v>LEONE Luca</v>
      </c>
      <c r="W164" s="128"/>
    </row>
    <row r="165" customFormat="false" ht="15" hidden="false" customHeight="false" outlineLevel="0" collapsed="false">
      <c r="G165" s="139" t="str">
        <f aca="false">C114</f>
        <v/>
      </c>
      <c r="H165" s="139" t="n">
        <f aca="false">F114</f>
        <v>0</v>
      </c>
      <c r="I165" s="139" t="n">
        <f aca="false">H165</f>
        <v>0</v>
      </c>
      <c r="J165" s="139" t="n">
        <f aca="false">SUMIF($D$78:$D$98,G165,$G$78:$G$98)</f>
        <v>0</v>
      </c>
      <c r="K165" s="139" t="n">
        <f aca="false">SUMIF($D$78:$D$98,G165,$I$78:$I$98)</f>
        <v>0</v>
      </c>
      <c r="L165" s="139" t="n">
        <f aca="false">SUMIF($D$79:$D$98,G165,$J$79:$J$98)</f>
        <v>0</v>
      </c>
      <c r="M165" s="139" t="n">
        <f aca="false">SUMIF($D$78:$D$98,G165,$H$78:$H$98)</f>
        <v>0</v>
      </c>
    </row>
    <row r="166" customFormat="false" ht="15" hidden="false" customHeight="false" outlineLevel="0" collapsed="false">
      <c r="G166" s="139" t="str">
        <f aca="false">C115</f>
        <v/>
      </c>
      <c r="H166" s="139" t="n">
        <f aca="false">F115</f>
        <v>0</v>
      </c>
      <c r="I166" s="139" t="n">
        <f aca="false">H166</f>
        <v>0</v>
      </c>
      <c r="J166" s="139" t="n">
        <f aca="false">SUMIF($D$78:$D$98,G166,$G$78:$G$98)</f>
        <v>0</v>
      </c>
      <c r="K166" s="139" t="n">
        <f aca="false">SUMIF($D$78:$D$98,G166,$I$78:$I$98)</f>
        <v>0</v>
      </c>
      <c r="L166" s="139" t="n">
        <f aca="false">SUMIF($D$79:$D$98,G166,$J$79:$J$98)</f>
        <v>0</v>
      </c>
      <c r="M166" s="139" t="n">
        <f aca="false">SUMIF($D$78:$D$98,G166,$H$78:$H$98)</f>
        <v>0</v>
      </c>
      <c r="S166" s="1" t="s">
        <v>78</v>
      </c>
    </row>
    <row r="167" customFormat="false" ht="15" hidden="false" customHeight="false" outlineLevel="0" collapsed="false">
      <c r="G167" s="139" t="str">
        <f aca="false">C116</f>
        <v/>
      </c>
      <c r="H167" s="139" t="n">
        <f aca="false">F116</f>
        <v>0</v>
      </c>
      <c r="I167" s="139" t="n">
        <f aca="false">H167</f>
        <v>0</v>
      </c>
      <c r="J167" s="139" t="n">
        <f aca="false">SUMIF($D$78:$D$98,G167,$G$78:$G$98)</f>
        <v>0</v>
      </c>
      <c r="K167" s="139" t="n">
        <f aca="false">SUMIF($D$78:$D$98,G167,$I$78:$I$98)</f>
        <v>0</v>
      </c>
      <c r="L167" s="139" t="n">
        <f aca="false">SUMIF($D$79:$D$98,G167,$J$79:$J$98)</f>
        <v>0</v>
      </c>
      <c r="M167" s="139" t="n">
        <f aca="false">SUMIF($D$78:$D$98,G167,$H$78:$H$98)</f>
        <v>0</v>
      </c>
    </row>
    <row r="168" customFormat="false" ht="15" hidden="false" customHeight="false" outlineLevel="0" collapsed="false">
      <c r="G168" s="139" t="str">
        <f aca="false">C117</f>
        <v/>
      </c>
      <c r="H168" s="139" t="n">
        <f aca="false">F117</f>
        <v>0</v>
      </c>
      <c r="I168" s="139" t="n">
        <f aca="false">H168</f>
        <v>0</v>
      </c>
      <c r="J168" s="139" t="n">
        <f aca="false">SUMIF($D$78:$D$98,G168,$G$78:$G$98)</f>
        <v>0</v>
      </c>
      <c r="K168" s="139" t="n">
        <f aca="false">SUMIF($D$78:$D$98,G168,$I$78:$I$98)</f>
        <v>0</v>
      </c>
      <c r="L168" s="139" t="n">
        <f aca="false">SUMIF($D$79:$D$98,G168,$J$79:$J$98)</f>
        <v>0</v>
      </c>
      <c r="M168" s="139" t="n">
        <f aca="false">SUMIF($D$78:$D$98,G168,$H$78:$H$98)</f>
        <v>0</v>
      </c>
    </row>
    <row r="169" customFormat="false" ht="15" hidden="false" customHeight="false" outlineLevel="0" collapsed="false">
      <c r="G169" s="139" t="str">
        <f aca="false">C118</f>
        <v/>
      </c>
      <c r="H169" s="139" t="n">
        <f aca="false">F118</f>
        <v>0</v>
      </c>
      <c r="I169" s="139" t="n">
        <f aca="false">H169</f>
        <v>0</v>
      </c>
      <c r="J169" s="139" t="n">
        <f aca="false">SUMIF($D$78:$D$98,G169,$G$78:$G$98)</f>
        <v>0</v>
      </c>
      <c r="K169" s="139" t="n">
        <f aca="false">SUMIF($D$78:$D$98,G169,$I$78:$I$98)</f>
        <v>0</v>
      </c>
      <c r="L169" s="139" t="n">
        <f aca="false">SUMIF($D$79:$D$98,G169,$J$79:$J$98)</f>
        <v>0</v>
      </c>
      <c r="M169" s="139" t="n">
        <f aca="false">SUMIF($D$78:$D$98,G169,$H$78:$H$98)</f>
        <v>0</v>
      </c>
    </row>
    <row r="170" customFormat="false" ht="15" hidden="false" customHeight="false" outlineLevel="0" collapsed="false">
      <c r="G170" s="139" t="str">
        <f aca="false">C119</f>
        <v>TOTALE</v>
      </c>
      <c r="H170" s="139"/>
      <c r="I170" s="139" t="n">
        <f aca="false">SUM(I154:I169)</f>
        <v>472.508928</v>
      </c>
      <c r="J170" s="139" t="n">
        <f aca="false">SUM(J154:J169)</f>
        <v>90.2211</v>
      </c>
      <c r="K170" s="139" t="n">
        <f aca="false">SUM(K154:K169)</f>
        <v>3.19</v>
      </c>
      <c r="L170" s="139" t="n">
        <f aca="false">SUM(L154:L169)</f>
        <v>379.097828</v>
      </c>
      <c r="M170" s="139" t="n">
        <f aca="false">SUM(M154:M169)</f>
        <v>32.221</v>
      </c>
    </row>
  </sheetData>
  <mergeCells count="64">
    <mergeCell ref="D3:N3"/>
    <mergeCell ref="D4:E4"/>
    <mergeCell ref="D5:E5"/>
    <mergeCell ref="M7:W7"/>
    <mergeCell ref="S8:V8"/>
    <mergeCell ref="S9:V9"/>
    <mergeCell ref="S10:V13"/>
    <mergeCell ref="C11:C12"/>
    <mergeCell ref="D11:D12"/>
    <mergeCell ref="F12:F14"/>
    <mergeCell ref="C14:C16"/>
    <mergeCell ref="D14:D16"/>
    <mergeCell ref="N14:O14"/>
    <mergeCell ref="P14:Q14"/>
    <mergeCell ref="S14:V14"/>
    <mergeCell ref="F16:F20"/>
    <mergeCell ref="M18:R18"/>
    <mergeCell ref="M19:N19"/>
    <mergeCell ref="O19:P19"/>
    <mergeCell ref="T19:W26"/>
    <mergeCell ref="M20:N20"/>
    <mergeCell ref="O20:P20"/>
    <mergeCell ref="C21:E21"/>
    <mergeCell ref="M21:R21"/>
    <mergeCell ref="M22:R26"/>
    <mergeCell ref="C23:E23"/>
    <mergeCell ref="C25:E27"/>
    <mergeCell ref="F25:F27"/>
    <mergeCell ref="C31:J31"/>
    <mergeCell ref="E33:E35"/>
    <mergeCell ref="C37:C39"/>
    <mergeCell ref="E37:E39"/>
    <mergeCell ref="C41:C45"/>
    <mergeCell ref="E41:E45"/>
    <mergeCell ref="E46:E49"/>
    <mergeCell ref="C50:C52"/>
    <mergeCell ref="E50:E52"/>
    <mergeCell ref="C54:J54"/>
    <mergeCell ref="C60:C62"/>
    <mergeCell ref="E60:E62"/>
    <mergeCell ref="C64:C68"/>
    <mergeCell ref="E64:E68"/>
    <mergeCell ref="E69:E72"/>
    <mergeCell ref="C73:C75"/>
    <mergeCell ref="E73:E75"/>
    <mergeCell ref="C77:J77"/>
    <mergeCell ref="C83:C85"/>
    <mergeCell ref="E83:E84"/>
    <mergeCell ref="C87:C91"/>
    <mergeCell ref="E87:E91"/>
    <mergeCell ref="E92:E95"/>
    <mergeCell ref="C96:C98"/>
    <mergeCell ref="E96:E98"/>
    <mergeCell ref="V110:W110"/>
    <mergeCell ref="D126:P126"/>
    <mergeCell ref="C132:D132"/>
    <mergeCell ref="C133:D133"/>
    <mergeCell ref="C138:F140"/>
    <mergeCell ref="V141:W141"/>
    <mergeCell ref="D150:P150"/>
    <mergeCell ref="C154:D154"/>
    <mergeCell ref="C155:D155"/>
    <mergeCell ref="C161:F163"/>
    <mergeCell ref="V164:W164"/>
  </mergeCells>
  <conditionalFormatting sqref="H9">
    <cfRule type="cellIs" priority="2" operator="notBetween" aboveAverage="0" equalAverage="0" bottom="0" percent="0" rank="0" text="" dxfId="0">
      <formula>0</formula>
      <formula>30</formula>
    </cfRule>
  </conditionalFormatting>
  <conditionalFormatting sqref="R20">
    <cfRule type="cellIs" priority="3" operator="lessThan" aboveAverage="0" equalAverage="0" bottom="0" percent="0" rank="0" text="" dxfId="1">
      <formula>0</formula>
    </cfRule>
    <cfRule type="cellIs" priority="4" operator="greaterThan" aboveAverage="0" equalAverage="0" bottom="0" percent="0" rank="0" text="" dxfId="2">
      <formula>0</formula>
    </cfRule>
  </conditionalFormatting>
  <conditionalFormatting sqref="R11">
    <cfRule type="cellIs" priority="5" operator="lessThan" aboveAverage="0" equalAverage="0" bottom="0" percent="0" rank="0" text="" dxfId="3">
      <formula>0</formula>
    </cfRule>
    <cfRule type="cellIs" priority="6" operator="greaterThan" aboveAverage="0" equalAverage="0" bottom="0" percent="0" rank="0" text="" dxfId="4">
      <formula>0</formula>
    </cfRule>
  </conditionalFormatting>
  <conditionalFormatting sqref="R13:R14">
    <cfRule type="cellIs" priority="7" operator="lessThan" aboveAverage="0" equalAverage="0" bottom="0" percent="0" rank="0" text="" dxfId="5">
      <formula>0</formula>
    </cfRule>
    <cfRule type="cellIs" priority="8" operator="greaterThan" aboveAverage="0" equalAverage="0" bottom="0" percent="0" rank="0" text="" dxfId="6">
      <formula>0</formula>
    </cfRule>
  </conditionalFormatting>
  <conditionalFormatting sqref="R9">
    <cfRule type="cellIs" priority="9" operator="lessThan" aboveAverage="0" equalAverage="0" bottom="0" percent="0" rank="0" text="" dxfId="7">
      <formula>0</formula>
    </cfRule>
    <cfRule type="cellIs" priority="10" operator="greaterThan" aboveAverage="0" equalAverage="0" bottom="0" percent="0" rank="0" text="" dxfId="8">
      <formula>0</formula>
    </cfRule>
  </conditionalFormatting>
  <conditionalFormatting sqref="R14">
    <cfRule type="cellIs" priority="11" operator="greaterThan" aboveAverage="0" equalAverage="0" bottom="0" percent="0" rank="0" text="" dxfId="9">
      <formula>1</formula>
    </cfRule>
    <cfRule type="cellIs" priority="12" operator="greaterThan" aboveAverage="0" equalAverage="0" bottom="0" percent="0" rank="0" text="" dxfId="10">
      <formula>100</formula>
    </cfRule>
    <cfRule type="cellIs" priority="13" operator="greaterThan" aboveAverage="0" equalAverage="0" bottom="0" percent="0" rank="0" text="" dxfId="11">
      <formula>100</formula>
    </cfRule>
    <cfRule type="cellIs" priority="14" operator="lessThan" aboveAverage="0" equalAverage="0" bottom="0" percent="0" rank="0" text="" dxfId="12">
      <formula>100</formula>
    </cfRule>
    <cfRule type="cellIs" priority="15" operator="greaterThan" aboveAverage="0" equalAverage="0" bottom="0" percent="0" rank="0" text="" dxfId="13">
      <formula>100</formula>
    </cfRule>
    <cfRule type="cellIs" priority="16" operator="lessThan" aboveAverage="0" equalAverage="0" bottom="0" percent="0" rank="0" text="" dxfId="14">
      <formula>0</formula>
    </cfRule>
    <cfRule type="cellIs" priority="17" operator="lessThan" aboveAverage="0" equalAverage="0" bottom="0" percent="0" rank="0" text="" dxfId="15">
      <formula>0</formula>
    </cfRule>
    <cfRule type="cellIs" priority="18" operator="lessThan" aboveAverage="0" equalAverage="0" bottom="0" percent="0" rank="0" text="" dxfId="16">
      <formula>0</formula>
    </cfRule>
    <cfRule type="cellIs" priority="19" operator="greaterThan" aboveAverage="0" equalAverage="0" bottom="0" percent="0" rank="0" text="" dxfId="17">
      <formula>0</formula>
    </cfRule>
  </conditionalFormatting>
  <dataValidations count="5">
    <dataValidation allowBlank="true" errorStyle="stop" operator="between" showDropDown="false" showErrorMessage="true" showInputMessage="true" sqref="H8" type="decimal">
      <formula1>0</formula1>
      <formula2>30</formula2>
    </dataValidation>
    <dataValidation allowBlank="true" errorStyle="stop" operator="equal" showDropDown="false" showErrorMessage="true" showInputMessage="true" sqref="W9 W11 W13" type="list">
      <formula1>$X$9:$X$12</formula1>
      <formula2>0</formula2>
    </dataValidation>
    <dataValidation allowBlank="true" errorStyle="stop" operator="equal" showDropDown="false" showErrorMessage="true" showInputMessage="true" sqref="G22:G24" type="list">
      <formula1>$B$2:$B$40</formula1>
      <formula2>0</formula2>
    </dataValidation>
    <dataValidation allowBlank="true" errorStyle="stop" operator="equal" showDropDown="false" showErrorMessage="true" showInputMessage="true" sqref="G8:G14 G16:G21 G25:G27" type="list">
      <formula1>NOMINATIVI!$B$2:$B$39</formula1>
      <formula2>0</formula2>
    </dataValidation>
    <dataValidation allowBlank="true" errorStyle="stop" operator="equal" showDropDown="false" showErrorMessage="true" showInputMessage="true" sqref="D18" type="list">
      <formula1>NOMINATIVI!$E$3:$E$4</formula1>
      <formula2>0</formula2>
    </dataValidation>
  </dataValidations>
  <printOptions headings="false" gridLines="false" gridLinesSet="true" horizontalCentered="false" verticalCentered="false"/>
  <pageMargins left="0.196527777777778" right="0.196527777777778" top="0.196527777777778" bottom="0.196527777777778" header="0.511811023622047" footer="0.511811023622047"/>
  <pageSetup paperSize="8" scale="4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Z5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B9" activeCellId="0" sqref="B9"/>
    </sheetView>
  </sheetViews>
  <sheetFormatPr defaultColWidth="8.71484375" defaultRowHeight="15" zeroHeight="false" outlineLevelRow="0" outlineLevelCol="0"/>
  <cols>
    <col collapsed="false" customWidth="true" hidden="false" outlineLevel="0" max="2" min="2" style="1" width="28.42"/>
    <col collapsed="false" customWidth="true" hidden="false" outlineLevel="0" max="5" min="5" style="1" width="20.57"/>
    <col collapsed="false" customWidth="true" hidden="false" outlineLevel="0" max="8" min="8" style="1" width="20.85"/>
    <col collapsed="false" customWidth="true" hidden="false" outlineLevel="0" max="15" min="14" style="1" width="10.57"/>
    <col collapsed="false" customWidth="true" hidden="false" outlineLevel="0" max="18" min="18" style="1" width="9.71"/>
    <col collapsed="false" customWidth="true" hidden="false" outlineLevel="0" max="19" min="19" style="1" width="28.42"/>
    <col collapsed="false" customWidth="true" hidden="false" outlineLevel="0" max="20" min="20" style="1" width="14.71"/>
    <col collapsed="false" customWidth="true" hidden="false" outlineLevel="0" max="21" min="21" style="1" width="14.57"/>
    <col collapsed="false" customWidth="true" hidden="false" outlineLevel="0" max="22" min="22" style="1" width="14.29"/>
    <col collapsed="false" customWidth="true" hidden="false" outlineLevel="0" max="23" min="23" style="1" width="11.29"/>
    <col collapsed="false" customWidth="true" hidden="false" outlineLevel="0" max="24" min="24" style="1" width="20.14"/>
    <col collapsed="false" customWidth="true" hidden="false" outlineLevel="0" max="25" min="25" style="1" width="12.15"/>
    <col collapsed="false" customWidth="true" hidden="false" outlineLevel="0" max="26" min="26" style="1" width="15.14"/>
  </cols>
  <sheetData>
    <row r="2" customFormat="false" ht="15" hidden="false" customHeight="false" outlineLevel="0" collapsed="false">
      <c r="T2" s="8"/>
      <c r="U2" s="8"/>
      <c r="V2" s="8"/>
      <c r="W2" s="8"/>
      <c r="X2" s="8"/>
      <c r="Y2" s="8"/>
      <c r="Z2" s="8" t="s">
        <v>87</v>
      </c>
    </row>
    <row r="3" customFormat="false" ht="15" hidden="false" customHeight="false" outlineLevel="0" collapsed="false">
      <c r="B3" s="148" t="s">
        <v>15</v>
      </c>
      <c r="E3" s="149" t="s">
        <v>88</v>
      </c>
      <c r="S3" s="150" t="s">
        <v>89</v>
      </c>
      <c r="T3" s="151"/>
      <c r="U3" s="151"/>
      <c r="V3" s="151"/>
      <c r="W3" s="151"/>
      <c r="X3" s="151"/>
      <c r="Y3" s="151"/>
      <c r="Z3" s="151"/>
    </row>
    <row r="4" customFormat="false" ht="15" hidden="false" customHeight="false" outlineLevel="0" collapsed="false">
      <c r="B4" s="148" t="s">
        <v>25</v>
      </c>
      <c r="E4" s="152" t="s">
        <v>43</v>
      </c>
      <c r="S4" s="150" t="s">
        <v>90</v>
      </c>
      <c r="T4" s="151"/>
      <c r="U4" s="151"/>
      <c r="V4" s="151"/>
      <c r="W4" s="151"/>
      <c r="X4" s="151"/>
      <c r="Y4" s="151"/>
      <c r="Z4" s="151"/>
    </row>
    <row r="5" customFormat="false" ht="15" hidden="false" customHeight="false" outlineLevel="0" collapsed="false">
      <c r="B5" s="148" t="s">
        <v>91</v>
      </c>
      <c r="S5" s="150" t="s">
        <v>92</v>
      </c>
      <c r="T5" s="151"/>
      <c r="U5" s="151"/>
      <c r="V5" s="151"/>
      <c r="W5" s="151"/>
      <c r="X5" s="151"/>
      <c r="Y5" s="151"/>
      <c r="Z5" s="151"/>
    </row>
    <row r="6" customFormat="false" ht="15" hidden="false" customHeight="false" outlineLevel="0" collapsed="false">
      <c r="B6" s="148" t="s">
        <v>93</v>
      </c>
      <c r="G6" s="1" t="s">
        <v>94</v>
      </c>
      <c r="J6" s="1" t="s">
        <v>95</v>
      </c>
      <c r="S6" s="150" t="s">
        <v>96</v>
      </c>
      <c r="T6" s="151"/>
      <c r="U6" s="151"/>
      <c r="V6" s="151"/>
      <c r="W6" s="151"/>
      <c r="X6" s="151"/>
      <c r="Y6" s="151"/>
      <c r="Z6" s="151"/>
    </row>
    <row r="7" customFormat="false" ht="15" hidden="false" customHeight="false" outlineLevel="0" collapsed="false">
      <c r="B7" s="148" t="s">
        <v>51</v>
      </c>
      <c r="G7" s="8" t="s">
        <v>14</v>
      </c>
      <c r="H7" s="1" t="s">
        <v>97</v>
      </c>
      <c r="I7" s="140" t="s">
        <v>30</v>
      </c>
      <c r="J7" s="153" t="n">
        <v>0.02</v>
      </c>
      <c r="K7" s="154" t="n">
        <v>0.019</v>
      </c>
      <c r="S7" s="150" t="s">
        <v>98</v>
      </c>
      <c r="T7" s="151"/>
      <c r="U7" s="151"/>
      <c r="V7" s="151"/>
      <c r="W7" s="151"/>
      <c r="X7" s="151"/>
      <c r="Y7" s="151"/>
      <c r="Z7" s="151"/>
    </row>
    <row r="8" customFormat="false" ht="15" hidden="false" customHeight="false" outlineLevel="0" collapsed="false">
      <c r="B8" s="148" t="s">
        <v>99</v>
      </c>
      <c r="G8" s="155" t="n">
        <v>0.3</v>
      </c>
      <c r="H8" s="1" t="s">
        <v>100</v>
      </c>
      <c r="I8" s="140" t="s">
        <v>30</v>
      </c>
      <c r="J8" s="155" t="n">
        <v>0.05</v>
      </c>
      <c r="K8" s="155" t="n">
        <v>0.02</v>
      </c>
      <c r="S8" s="150" t="s">
        <v>99</v>
      </c>
      <c r="T8" s="151"/>
      <c r="U8" s="151"/>
      <c r="V8" s="151"/>
      <c r="W8" s="151"/>
      <c r="X8" s="151"/>
      <c r="Y8" s="151"/>
      <c r="Z8" s="151"/>
    </row>
    <row r="9" customFormat="false" ht="15" hidden="false" customHeight="false" outlineLevel="0" collapsed="false">
      <c r="B9" s="148" t="s">
        <v>101</v>
      </c>
      <c r="G9" s="155" t="n">
        <v>0.7</v>
      </c>
      <c r="H9" s="156" t="s">
        <v>102</v>
      </c>
      <c r="I9" s="140" t="s">
        <v>30</v>
      </c>
      <c r="J9" s="155" t="n">
        <v>0.05</v>
      </c>
      <c r="K9" s="155" t="n">
        <v>0.04</v>
      </c>
      <c r="S9" s="150" t="s">
        <v>101</v>
      </c>
      <c r="T9" s="151"/>
      <c r="U9" s="151"/>
      <c r="V9" s="151"/>
      <c r="W9" s="151"/>
      <c r="X9" s="151"/>
      <c r="Y9" s="151"/>
      <c r="Z9" s="151"/>
    </row>
    <row r="10" customFormat="false" ht="15" hidden="false" customHeight="false" outlineLevel="0" collapsed="false">
      <c r="B10" s="148" t="s">
        <v>103</v>
      </c>
      <c r="E10" s="71"/>
      <c r="H10" s="157" t="s">
        <v>104</v>
      </c>
      <c r="I10" s="140" t="s">
        <v>30</v>
      </c>
      <c r="J10" s="155" t="n">
        <v>0.02</v>
      </c>
      <c r="K10" s="42" t="n">
        <v>0.02</v>
      </c>
      <c r="S10" s="150" t="s">
        <v>103</v>
      </c>
      <c r="T10" s="151"/>
      <c r="U10" s="151"/>
      <c r="V10" s="151"/>
      <c r="W10" s="151"/>
      <c r="X10" s="151"/>
      <c r="Y10" s="151"/>
      <c r="Z10" s="151"/>
    </row>
    <row r="11" customFormat="false" ht="15" hidden="false" customHeight="false" outlineLevel="0" collapsed="false">
      <c r="B11" s="148" t="s">
        <v>105</v>
      </c>
      <c r="E11" s="158" t="s">
        <v>106</v>
      </c>
      <c r="H11" s="159" t="s">
        <v>69</v>
      </c>
      <c r="I11" s="140" t="s">
        <v>30</v>
      </c>
      <c r="J11" s="155" t="n">
        <v>0.05</v>
      </c>
      <c r="K11" s="42" t="n">
        <v>0.05</v>
      </c>
      <c r="S11" s="150" t="s">
        <v>105</v>
      </c>
      <c r="T11" s="151"/>
      <c r="U11" s="151"/>
      <c r="V11" s="151"/>
      <c r="W11" s="151"/>
      <c r="X11" s="151"/>
      <c r="Y11" s="151"/>
      <c r="Z11" s="151"/>
    </row>
    <row r="12" customFormat="false" ht="15" hidden="false" customHeight="false" outlineLevel="0" collapsed="false">
      <c r="B12" s="148" t="s">
        <v>107</v>
      </c>
      <c r="S12" s="150" t="s">
        <v>107</v>
      </c>
      <c r="T12" s="151"/>
      <c r="U12" s="151"/>
      <c r="V12" s="151"/>
      <c r="W12" s="151"/>
      <c r="X12" s="151"/>
      <c r="Y12" s="151"/>
      <c r="Z12" s="151"/>
    </row>
    <row r="13" customFormat="false" ht="15" hidden="false" customHeight="false" outlineLevel="0" collapsed="false">
      <c r="B13" s="148" t="s">
        <v>108</v>
      </c>
      <c r="S13" s="150" t="s">
        <v>108</v>
      </c>
      <c r="T13" s="151"/>
      <c r="U13" s="151"/>
      <c r="V13" s="151"/>
      <c r="W13" s="151"/>
      <c r="X13" s="151"/>
      <c r="Y13" s="151"/>
      <c r="Z13" s="151"/>
    </row>
    <row r="14" customFormat="false" ht="15" hidden="false" customHeight="false" outlineLevel="0" collapsed="false">
      <c r="B14" s="148" t="s">
        <v>109</v>
      </c>
      <c r="S14" s="150" t="s">
        <v>109</v>
      </c>
      <c r="T14" s="151"/>
      <c r="U14" s="151"/>
      <c r="V14" s="151"/>
      <c r="W14" s="151"/>
      <c r="X14" s="151"/>
      <c r="Y14" s="151"/>
      <c r="Z14" s="151"/>
    </row>
    <row r="15" customFormat="false" ht="15" hidden="false" customHeight="false" outlineLevel="0" collapsed="false">
      <c r="B15" s="148" t="s">
        <v>110</v>
      </c>
      <c r="S15" s="150" t="s">
        <v>110</v>
      </c>
      <c r="T15" s="151"/>
      <c r="U15" s="151"/>
      <c r="V15" s="151"/>
      <c r="W15" s="151"/>
      <c r="X15" s="151"/>
      <c r="Y15" s="151"/>
      <c r="Z15" s="151"/>
    </row>
    <row r="16" customFormat="false" ht="15" hidden="false" customHeight="false" outlineLevel="0" collapsed="false">
      <c r="B16" s="148" t="s">
        <v>111</v>
      </c>
      <c r="E16" s="160" t="n">
        <v>-0.3</v>
      </c>
      <c r="S16" s="150" t="s">
        <v>111</v>
      </c>
      <c r="T16" s="151"/>
      <c r="U16" s="151"/>
      <c r="V16" s="151"/>
      <c r="W16" s="151"/>
      <c r="X16" s="151"/>
      <c r="Y16" s="151"/>
      <c r="Z16" s="151"/>
    </row>
    <row r="17" customFormat="false" ht="15" hidden="false" customHeight="false" outlineLevel="0" collapsed="false">
      <c r="B17" s="148" t="s">
        <v>51</v>
      </c>
      <c r="E17" s="160" t="n">
        <v>-0.5</v>
      </c>
      <c r="S17" s="150" t="s">
        <v>51</v>
      </c>
      <c r="T17" s="151"/>
      <c r="U17" s="151"/>
      <c r="V17" s="151"/>
      <c r="W17" s="151"/>
      <c r="X17" s="151"/>
      <c r="Y17" s="151"/>
      <c r="Z17" s="151"/>
    </row>
    <row r="18" customFormat="false" ht="15" hidden="false" customHeight="false" outlineLevel="0" collapsed="false">
      <c r="B18" s="148" t="s">
        <v>112</v>
      </c>
      <c r="E18" s="160" t="n">
        <v>-0.8</v>
      </c>
      <c r="S18" s="150" t="s">
        <v>112</v>
      </c>
      <c r="T18" s="151"/>
      <c r="U18" s="151"/>
      <c r="V18" s="151"/>
      <c r="W18" s="151"/>
      <c r="X18" s="151"/>
      <c r="Y18" s="151"/>
      <c r="Z18" s="151"/>
    </row>
    <row r="19" customFormat="false" ht="15" hidden="false" customHeight="false" outlineLevel="0" collapsed="false">
      <c r="B19" s="148" t="s">
        <v>113</v>
      </c>
      <c r="E19" s="160" t="n">
        <v>-1</v>
      </c>
      <c r="S19" s="150" t="s">
        <v>113</v>
      </c>
      <c r="T19" s="151"/>
      <c r="U19" s="151"/>
      <c r="V19" s="151"/>
      <c r="W19" s="151"/>
      <c r="X19" s="151"/>
      <c r="Y19" s="151"/>
      <c r="Z19" s="151"/>
    </row>
    <row r="20" customFormat="false" ht="15" hidden="false" customHeight="false" outlineLevel="0" collapsed="false">
      <c r="B20" s="148" t="s">
        <v>114</v>
      </c>
      <c r="E20" s="160" t="n">
        <v>0</v>
      </c>
      <c r="S20" s="150" t="s">
        <v>114</v>
      </c>
      <c r="T20" s="151"/>
      <c r="U20" s="151"/>
      <c r="V20" s="151"/>
      <c r="W20" s="151"/>
      <c r="X20" s="151"/>
      <c r="Y20" s="151"/>
      <c r="Z20" s="151"/>
    </row>
    <row r="21" customFormat="false" ht="15" hidden="false" customHeight="false" outlineLevel="0" collapsed="false">
      <c r="B21" s="148" t="s">
        <v>115</v>
      </c>
      <c r="E21" s="160" t="n">
        <v>-0.5</v>
      </c>
      <c r="S21" s="150" t="s">
        <v>115</v>
      </c>
      <c r="T21" s="151"/>
      <c r="U21" s="151"/>
      <c r="V21" s="151"/>
      <c r="W21" s="151"/>
      <c r="X21" s="151"/>
      <c r="Y21" s="151"/>
      <c r="Z21" s="151"/>
    </row>
    <row r="22" customFormat="false" ht="15" hidden="false" customHeight="false" outlineLevel="0" collapsed="false">
      <c r="B22" s="148" t="s">
        <v>116</v>
      </c>
      <c r="S22" s="150" t="s">
        <v>116</v>
      </c>
      <c r="T22" s="151"/>
      <c r="U22" s="151"/>
      <c r="V22" s="151"/>
      <c r="W22" s="151"/>
      <c r="X22" s="151"/>
      <c r="Y22" s="151"/>
      <c r="Z22" s="151"/>
    </row>
    <row r="23" customFormat="false" ht="15" hidden="false" customHeight="false" outlineLevel="0" collapsed="false">
      <c r="B23" s="148" t="s">
        <v>117</v>
      </c>
      <c r="H23" s="161"/>
      <c r="M23" s="1" t="n">
        <v>1500</v>
      </c>
      <c r="N23" s="162" t="n">
        <f aca="false">100+23.8+8.5+0.0035</f>
        <v>132.3035</v>
      </c>
      <c r="O23" s="162" t="n">
        <f aca="false">M23*P23/N23</f>
        <v>1133.75685450498</v>
      </c>
      <c r="P23" s="1" t="n">
        <v>100</v>
      </c>
      <c r="S23" s="150" t="s">
        <v>117</v>
      </c>
      <c r="T23" s="151"/>
      <c r="U23" s="151"/>
      <c r="V23" s="151"/>
      <c r="W23" s="151"/>
      <c r="X23" s="151"/>
      <c r="Y23" s="151"/>
      <c r="Z23" s="151"/>
    </row>
    <row r="24" customFormat="false" ht="15" hidden="false" customHeight="false" outlineLevel="0" collapsed="false">
      <c r="B24" s="148" t="s">
        <v>118</v>
      </c>
      <c r="O24" s="162"/>
      <c r="S24" s="150" t="s">
        <v>118</v>
      </c>
      <c r="T24" s="151"/>
      <c r="U24" s="151"/>
      <c r="V24" s="151"/>
      <c r="W24" s="151"/>
      <c r="X24" s="151"/>
      <c r="Y24" s="151"/>
      <c r="Z24" s="151"/>
    </row>
    <row r="25" customFormat="false" ht="15" hidden="false" customHeight="false" outlineLevel="0" collapsed="false">
      <c r="B25" s="148" t="s">
        <v>119</v>
      </c>
      <c r="O25" s="162"/>
      <c r="S25" s="150" t="s">
        <v>119</v>
      </c>
      <c r="T25" s="151"/>
      <c r="U25" s="151"/>
      <c r="V25" s="151"/>
      <c r="W25" s="151"/>
      <c r="X25" s="151"/>
      <c r="Y25" s="151"/>
      <c r="Z25" s="151"/>
    </row>
    <row r="26" customFormat="false" ht="15" hidden="false" customHeight="false" outlineLevel="0" collapsed="false">
      <c r="B26" s="148" t="s">
        <v>120</v>
      </c>
      <c r="O26" s="162"/>
      <c r="S26" s="150" t="s">
        <v>120</v>
      </c>
      <c r="T26" s="151"/>
      <c r="U26" s="151"/>
      <c r="V26" s="151"/>
      <c r="W26" s="151"/>
      <c r="X26" s="151"/>
      <c r="Y26" s="151"/>
      <c r="Z26" s="151"/>
    </row>
    <row r="27" customFormat="false" ht="15" hidden="false" customHeight="false" outlineLevel="0" collapsed="false">
      <c r="B27" s="148" t="s">
        <v>121</v>
      </c>
      <c r="O27" s="162" t="n">
        <f aca="false">O23*23.8/100</f>
        <v>269.834131372186</v>
      </c>
      <c r="S27" s="150" t="s">
        <v>121</v>
      </c>
      <c r="T27" s="151"/>
      <c r="U27" s="151"/>
      <c r="V27" s="151"/>
      <c r="W27" s="151"/>
      <c r="X27" s="151"/>
      <c r="Y27" s="151"/>
      <c r="Z27" s="151"/>
    </row>
    <row r="28" customFormat="false" ht="15" hidden="false" customHeight="false" outlineLevel="0" collapsed="false">
      <c r="B28" s="148" t="s">
        <v>122</v>
      </c>
      <c r="H28" s="163" t="s">
        <v>123</v>
      </c>
      <c r="O28" s="162" t="n">
        <f aca="false">O23*8.5/100</f>
        <v>96.3693326329235</v>
      </c>
      <c r="S28" s="150" t="s">
        <v>122</v>
      </c>
      <c r="T28" s="151"/>
      <c r="U28" s="151"/>
      <c r="V28" s="151"/>
      <c r="W28" s="151"/>
      <c r="X28" s="151"/>
      <c r="Y28" s="151"/>
      <c r="Z28" s="151"/>
    </row>
    <row r="29" customFormat="false" ht="15" hidden="false" customHeight="false" outlineLevel="0" collapsed="false">
      <c r="B29" s="148" t="s">
        <v>124</v>
      </c>
      <c r="H29" s="164" t="s">
        <v>125</v>
      </c>
      <c r="O29" s="162" t="n">
        <f aca="false">O23*0.0035</f>
        <v>3.96814899076744</v>
      </c>
      <c r="S29" s="150" t="s">
        <v>124</v>
      </c>
      <c r="T29" s="151"/>
      <c r="U29" s="151"/>
      <c r="V29" s="151"/>
      <c r="W29" s="151"/>
      <c r="X29" s="151"/>
      <c r="Y29" s="151"/>
      <c r="Z29" s="151"/>
    </row>
    <row r="30" customFormat="false" ht="15" hidden="false" customHeight="false" outlineLevel="0" collapsed="false">
      <c r="B30" s="148" t="s">
        <v>126</v>
      </c>
      <c r="S30" s="150" t="s">
        <v>126</v>
      </c>
      <c r="T30" s="151"/>
      <c r="U30" s="151"/>
      <c r="V30" s="151"/>
      <c r="W30" s="151"/>
      <c r="X30" s="151"/>
      <c r="Y30" s="151"/>
      <c r="Z30" s="151"/>
    </row>
    <row r="31" customFormat="false" ht="15" hidden="false" customHeight="false" outlineLevel="0" collapsed="false">
      <c r="B31" s="148" t="s">
        <v>127</v>
      </c>
      <c r="S31" s="150" t="s">
        <v>127</v>
      </c>
      <c r="T31" s="151"/>
      <c r="U31" s="151"/>
      <c r="V31" s="151"/>
      <c r="W31" s="151"/>
      <c r="X31" s="151"/>
      <c r="Y31" s="151"/>
      <c r="Z31" s="151"/>
    </row>
    <row r="32" customFormat="false" ht="15" hidden="false" customHeight="false" outlineLevel="0" collapsed="false">
      <c r="B32" s="148" t="s">
        <v>128</v>
      </c>
      <c r="E32" s="148" t="e">
        <f aca="false">+#REF!</f>
        <v>#REF!</v>
      </c>
      <c r="S32" s="150" t="s">
        <v>128</v>
      </c>
      <c r="T32" s="151"/>
      <c r="U32" s="151"/>
      <c r="V32" s="151"/>
      <c r="W32" s="151"/>
      <c r="X32" s="151"/>
      <c r="Y32" s="151"/>
      <c r="Z32" s="151"/>
    </row>
    <row r="33" customFormat="false" ht="15" hidden="false" customHeight="false" outlineLevel="0" collapsed="false">
      <c r="B33" s="148" t="s">
        <v>129</v>
      </c>
      <c r="E33" s="148" t="s">
        <v>64</v>
      </c>
      <c r="S33" s="150" t="s">
        <v>129</v>
      </c>
      <c r="T33" s="151"/>
      <c r="U33" s="151"/>
      <c r="V33" s="151"/>
      <c r="W33" s="151"/>
      <c r="X33" s="151"/>
      <c r="Y33" s="151"/>
      <c r="Z33" s="151"/>
    </row>
    <row r="34" customFormat="false" ht="15" hidden="false" customHeight="false" outlineLevel="0" collapsed="false">
      <c r="B34" s="148" t="s">
        <v>130</v>
      </c>
      <c r="H34" s="1" t="s">
        <v>131</v>
      </c>
      <c r="K34" s="1" t="s">
        <v>132</v>
      </c>
      <c r="S34" s="150" t="s">
        <v>130</v>
      </c>
      <c r="T34" s="151"/>
      <c r="U34" s="151"/>
      <c r="V34" s="151"/>
      <c r="W34" s="151"/>
      <c r="X34" s="151"/>
      <c r="Y34" s="151"/>
      <c r="Z34" s="151"/>
    </row>
    <row r="35" customFormat="false" ht="15" hidden="false" customHeight="false" outlineLevel="0" collapsed="false">
      <c r="B35" s="148" t="s">
        <v>133</v>
      </c>
      <c r="H35" s="1" t="n">
        <f aca="false">100+(23.8+K35)</f>
        <v>124.14</v>
      </c>
      <c r="K35" s="165" t="n">
        <v>0.34</v>
      </c>
      <c r="S35" s="150" t="s">
        <v>133</v>
      </c>
      <c r="T35" s="151"/>
      <c r="U35" s="151"/>
      <c r="V35" s="151"/>
      <c r="W35" s="151"/>
      <c r="X35" s="151"/>
      <c r="Y35" s="151"/>
      <c r="Z35" s="151"/>
    </row>
    <row r="36" customFormat="false" ht="15" hidden="false" customHeight="false" outlineLevel="0" collapsed="false">
      <c r="B36" s="148" t="s">
        <v>134</v>
      </c>
      <c r="H36" s="1" t="n">
        <f aca="false">100+(23.8+K36)</f>
        <v>124.882</v>
      </c>
      <c r="K36" s="165" t="n">
        <v>1.082</v>
      </c>
      <c r="S36" s="150" t="s">
        <v>134</v>
      </c>
      <c r="T36" s="151"/>
      <c r="U36" s="151"/>
      <c r="V36" s="151"/>
      <c r="W36" s="151"/>
      <c r="X36" s="151"/>
      <c r="Y36" s="151"/>
      <c r="Z36" s="151"/>
    </row>
    <row r="37" customFormat="false" ht="15" hidden="false" customHeight="false" outlineLevel="0" collapsed="false">
      <c r="B37" s="148" t="s">
        <v>135</v>
      </c>
      <c r="S37" s="150" t="s">
        <v>135</v>
      </c>
      <c r="T37" s="151"/>
      <c r="U37" s="151"/>
      <c r="V37" s="151"/>
      <c r="W37" s="151"/>
      <c r="X37" s="151"/>
      <c r="Y37" s="151"/>
      <c r="Z37" s="151"/>
    </row>
    <row r="38" customFormat="false" ht="15" hidden="false" customHeight="false" outlineLevel="0" collapsed="false">
      <c r="B38" s="148" t="s">
        <v>64</v>
      </c>
      <c r="S38" s="150" t="s">
        <v>64</v>
      </c>
      <c r="T38" s="151"/>
      <c r="U38" s="151"/>
      <c r="V38" s="151"/>
      <c r="W38" s="151"/>
      <c r="X38" s="151"/>
      <c r="Y38" s="151"/>
      <c r="Z38" s="151"/>
    </row>
    <row r="39" customFormat="false" ht="15" hidden="false" customHeight="false" outlineLevel="0" collapsed="false">
      <c r="B39" s="148" t="s">
        <v>36</v>
      </c>
      <c r="S39" s="150" t="s">
        <v>36</v>
      </c>
      <c r="T39" s="151"/>
      <c r="U39" s="151"/>
      <c r="V39" s="151"/>
      <c r="W39" s="151"/>
      <c r="X39" s="151"/>
      <c r="Y39" s="151"/>
      <c r="Z39" s="151"/>
    </row>
    <row r="40" customFormat="false" ht="15" hidden="false" customHeight="false" outlineLevel="0" collapsed="false">
      <c r="S40" s="166" t="s">
        <v>136</v>
      </c>
      <c r="T40" s="151"/>
      <c r="U40" s="151"/>
      <c r="V40" s="151"/>
      <c r="W40" s="151"/>
      <c r="X40" s="151"/>
      <c r="Y40" s="151"/>
      <c r="Z40" s="151"/>
    </row>
    <row r="41" customFormat="false" ht="24.75" hidden="false" customHeight="false" outlineLevel="0" collapsed="false">
      <c r="S41" s="167" t="s">
        <v>137</v>
      </c>
      <c r="T41" s="8"/>
      <c r="U41" s="8"/>
      <c r="V41" s="8"/>
      <c r="W41" s="8"/>
      <c r="X41" s="8"/>
      <c r="Y41" s="8"/>
      <c r="Z41" s="8"/>
    </row>
    <row r="42" customFormat="false" ht="15" hidden="false" customHeight="false" outlineLevel="0" collapsed="false">
      <c r="S42" s="168" t="s">
        <v>138</v>
      </c>
      <c r="T42" s="8"/>
      <c r="U42" s="8"/>
      <c r="V42" s="8"/>
      <c r="W42" s="8"/>
      <c r="X42" s="8"/>
      <c r="Y42" s="8"/>
      <c r="Z42" s="8"/>
    </row>
    <row r="43" customFormat="false" ht="15" hidden="false" customHeight="false" outlineLevel="0" collapsed="false">
      <c r="S43" s="169" t="s">
        <v>139</v>
      </c>
      <c r="T43" s="8"/>
      <c r="U43" s="8"/>
      <c r="V43" s="8"/>
      <c r="W43" s="8"/>
      <c r="X43" s="8"/>
      <c r="Y43" s="8"/>
      <c r="Z43" s="8"/>
    </row>
    <row r="44" customFormat="false" ht="15" hidden="false" customHeight="false" outlineLevel="0" collapsed="false">
      <c r="S44" s="169" t="s">
        <v>140</v>
      </c>
      <c r="T44" s="8"/>
      <c r="U44" s="8"/>
      <c r="V44" s="8"/>
      <c r="W44" s="8"/>
      <c r="X44" s="8"/>
      <c r="Y44" s="8"/>
      <c r="Z44" s="8"/>
    </row>
    <row r="45" customFormat="false" ht="15" hidden="false" customHeight="false" outlineLevel="0" collapsed="false">
      <c r="S45" s="168" t="s">
        <v>138</v>
      </c>
      <c r="T45" s="8"/>
      <c r="U45" s="8"/>
      <c r="V45" s="8"/>
      <c r="W45" s="8"/>
      <c r="X45" s="8"/>
      <c r="Y45" s="8"/>
      <c r="Z45" s="8"/>
    </row>
    <row r="46" customFormat="false" ht="15" hidden="false" customHeight="false" outlineLevel="0" collapsed="false">
      <c r="S46" s="169" t="s">
        <v>139</v>
      </c>
      <c r="T46" s="8"/>
      <c r="U46" s="8"/>
      <c r="V46" s="8"/>
      <c r="W46" s="8"/>
      <c r="X46" s="8"/>
      <c r="Y46" s="8"/>
      <c r="Z46" s="8"/>
    </row>
    <row r="47" customFormat="false" ht="15" hidden="false" customHeight="false" outlineLevel="0" collapsed="false">
      <c r="S47" s="170" t="s">
        <v>141</v>
      </c>
      <c r="T47" s="8"/>
      <c r="U47" s="8"/>
      <c r="V47" s="8"/>
      <c r="W47" s="8"/>
      <c r="X47" s="8"/>
      <c r="Y47" s="8"/>
      <c r="Z47" s="8"/>
    </row>
    <row r="48" customFormat="false" ht="15" hidden="false" customHeight="false" outlineLevel="0" collapsed="false">
      <c r="S48" s="171" t="s">
        <v>142</v>
      </c>
      <c r="T48" s="8"/>
      <c r="U48" s="8"/>
      <c r="V48" s="8"/>
      <c r="W48" s="8"/>
      <c r="X48" s="8"/>
      <c r="Y48" s="8"/>
      <c r="Z48" s="8"/>
    </row>
    <row r="49" customFormat="false" ht="15" hidden="false" customHeight="false" outlineLevel="0" collapsed="false">
      <c r="S49" s="172" t="s">
        <v>143</v>
      </c>
      <c r="T49" s="8"/>
      <c r="U49" s="8"/>
      <c r="V49" s="8"/>
      <c r="W49" s="8"/>
      <c r="X49" s="8"/>
      <c r="Y49" s="8"/>
      <c r="Z49" s="8"/>
    </row>
    <row r="50" customFormat="false" ht="15" hidden="false" customHeight="false" outlineLevel="0" collapsed="false">
      <c r="S50" s="173" t="s">
        <v>144</v>
      </c>
      <c r="T50" s="8"/>
      <c r="U50" s="8"/>
      <c r="V50" s="8"/>
      <c r="W50" s="8"/>
      <c r="X50" s="8"/>
      <c r="Y50" s="8"/>
      <c r="Z50" s="8"/>
    </row>
    <row r="51" customFormat="false" ht="15" hidden="false" customHeight="false" outlineLevel="0" collapsed="false">
      <c r="S51" s="174" t="s">
        <v>145</v>
      </c>
      <c r="T51" s="8"/>
      <c r="U51" s="8"/>
      <c r="V51" s="8"/>
      <c r="W51" s="8"/>
      <c r="X51" s="8"/>
      <c r="Y51" s="8"/>
      <c r="Z51" s="8"/>
    </row>
    <row r="52" customFormat="false" ht="219" hidden="false" customHeight="true" outlineLevel="0" collapsed="false">
      <c r="S52" s="175" t="s">
        <v>146</v>
      </c>
      <c r="T52" s="8"/>
      <c r="U52" s="8"/>
      <c r="V52" s="176"/>
      <c r="W52" s="8"/>
      <c r="X52" s="8"/>
      <c r="Y52" s="8"/>
      <c r="Z52" s="8"/>
    </row>
  </sheetData>
  <conditionalFormatting sqref="H9">
    <cfRule type="cellIs" priority="2" operator="equal" aboveAverage="0" equalAverage="0" bottom="0" percent="0" rank="0" text="" dxfId="18">
      <formula>0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223</TotalTime>
  <Application>LibreOffice/7.5.5.2$Windows_X86_64 LibreOffice_project/ca8fe7424262805f223b9a2334bc7181abbcbf5e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CASOLATI ALBERTO</dc:creator>
  <dc:description/>
  <dc:language>it-IT</dc:language>
  <cp:lastModifiedBy/>
  <cp:lastPrinted>2026-08-17T11:25:18Z</cp:lastPrinted>
  <dcterms:modified xsi:type="dcterms:W3CDTF">2026-08-27T17:13:44Z</dcterms:modified>
  <cp:revision>15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