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CLAUDIA\MANUTENZIONE VIDEOSORVEGLIANZA\"/>
    </mc:Choice>
  </mc:AlternateContent>
  <bookViews>
    <workbookView xWindow="0" yWindow="0" windowWidth="16380" windowHeight="8190" tabRatio="500"/>
  </bookViews>
  <sheets>
    <sheet name="STT_2026_00022" sheetId="1" r:id="rId1"/>
    <sheet name="NOMINATIVI" sheetId="2" r:id="rId2"/>
  </sheets>
  <definedNames>
    <definedName name="_xlnm.Print_Area" localSheetId="0">STT_2026_00022!$1:$1048576</definedName>
    <definedName name="_xlnm.Extract" localSheetId="0">STT_2026_00022!$C$103:$C$118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6" i="2" l="1"/>
  <c r="H35" i="2"/>
  <c r="E32" i="2"/>
  <c r="N23" i="2"/>
  <c r="O23" i="2" s="1"/>
  <c r="G170" i="1"/>
  <c r="V164" i="1"/>
  <c r="D150" i="1"/>
  <c r="G146" i="1"/>
  <c r="V141" i="1"/>
  <c r="D128" i="1"/>
  <c r="D152" i="1" s="1"/>
  <c r="D127" i="1"/>
  <c r="D151" i="1" s="1"/>
  <c r="D126" i="1"/>
  <c r="V110" i="1"/>
  <c r="D98" i="1"/>
  <c r="D97" i="1"/>
  <c r="D96" i="1"/>
  <c r="D95" i="1"/>
  <c r="D94" i="1"/>
  <c r="D93" i="1"/>
  <c r="D92" i="1"/>
  <c r="D91" i="1"/>
  <c r="D90" i="1"/>
  <c r="D89" i="1"/>
  <c r="D88" i="1"/>
  <c r="D87" i="1"/>
  <c r="D85" i="1"/>
  <c r="D84" i="1"/>
  <c r="D83" i="1"/>
  <c r="D82" i="1"/>
  <c r="D81" i="1"/>
  <c r="D80" i="1"/>
  <c r="D79" i="1"/>
  <c r="D75" i="1"/>
  <c r="D74" i="1"/>
  <c r="D73" i="1"/>
  <c r="D72" i="1"/>
  <c r="D71" i="1"/>
  <c r="D70" i="1"/>
  <c r="D69" i="1"/>
  <c r="D68" i="1"/>
  <c r="D67" i="1"/>
  <c r="D66" i="1"/>
  <c r="D65" i="1"/>
  <c r="D64" i="1"/>
  <c r="D62" i="1"/>
  <c r="D61" i="1"/>
  <c r="D60" i="1"/>
  <c r="D59" i="1"/>
  <c r="D58" i="1"/>
  <c r="D57" i="1"/>
  <c r="D56" i="1"/>
  <c r="D52" i="1"/>
  <c r="D51" i="1"/>
  <c r="D50" i="1"/>
  <c r="D49" i="1"/>
  <c r="D48" i="1"/>
  <c r="D47" i="1"/>
  <c r="D46" i="1"/>
  <c r="D45" i="1"/>
  <c r="D42" i="1"/>
  <c r="D41" i="1"/>
  <c r="D39" i="1"/>
  <c r="D38" i="1"/>
  <c r="D37" i="1"/>
  <c r="D36" i="1"/>
  <c r="D35" i="1"/>
  <c r="D34" i="1"/>
  <c r="D33" i="1"/>
  <c r="M32" i="1"/>
  <c r="J27" i="1"/>
  <c r="J26" i="1"/>
  <c r="H25" i="1"/>
  <c r="J24" i="1"/>
  <c r="F24" i="1"/>
  <c r="J23" i="1"/>
  <c r="J22" i="1"/>
  <c r="H21" i="1"/>
  <c r="R20" i="1"/>
  <c r="M20" i="1"/>
  <c r="J20" i="1"/>
  <c r="H19" i="1"/>
  <c r="J18" i="1"/>
  <c r="I18" i="1"/>
  <c r="H17" i="1"/>
  <c r="H16" i="1"/>
  <c r="G15" i="1"/>
  <c r="C122" i="1" s="1"/>
  <c r="P14" i="1"/>
  <c r="R14" i="1" s="1"/>
  <c r="N14" i="1"/>
  <c r="J14" i="1"/>
  <c r="I14" i="1"/>
  <c r="R13" i="1"/>
  <c r="J13" i="1"/>
  <c r="Q12" i="1"/>
  <c r="H12" i="1"/>
  <c r="R11" i="1"/>
  <c r="Q11" i="1"/>
  <c r="I11" i="1"/>
  <c r="H11" i="1"/>
  <c r="Q10" i="1"/>
  <c r="J10" i="1"/>
  <c r="F10" i="1"/>
  <c r="D10" i="1"/>
  <c r="I23" i="1" s="1"/>
  <c r="R9" i="1"/>
  <c r="J9" i="1"/>
  <c r="I9" i="1"/>
  <c r="F9" i="1"/>
  <c r="H8" i="1"/>
  <c r="D8" i="1"/>
  <c r="J8" i="1"/>
  <c r="J25" i="1"/>
  <c r="J12" i="1"/>
  <c r="F36" i="1"/>
  <c r="F34" i="1"/>
  <c r="J21" i="1"/>
  <c r="F85" i="1"/>
  <c r="F89" i="1"/>
  <c r="I34" i="1" l="1"/>
  <c r="G34" i="1"/>
  <c r="J34" i="1" s="1"/>
  <c r="H34" i="1" s="1"/>
  <c r="I36" i="1"/>
  <c r="G36" i="1"/>
  <c r="J36" i="1" s="1"/>
  <c r="H36" i="1" s="1"/>
  <c r="G48" i="1"/>
  <c r="I89" i="1"/>
  <c r="F71" i="1"/>
  <c r="F48" i="1"/>
  <c r="O29" i="2"/>
  <c r="O28" i="2"/>
  <c r="O27" i="2"/>
  <c r="H28" i="1"/>
  <c r="I85" i="1"/>
  <c r="C115" i="1" a="1"/>
  <c r="C115" i="1" s="1"/>
  <c r="C116" i="1" a="1"/>
  <c r="C116" i="1" s="1"/>
  <c r="C110" i="1" a="1"/>
  <c r="C110" i="1" s="1"/>
  <c r="C104" i="1" a="1"/>
  <c r="C104" i="1" s="1"/>
  <c r="C117" i="1" a="1"/>
  <c r="C117" i="1" s="1"/>
  <c r="C111" i="1" a="1"/>
  <c r="C111" i="1" s="1"/>
  <c r="C105" i="1" a="1"/>
  <c r="C105" i="1" s="1"/>
  <c r="C118" i="1" a="1"/>
  <c r="C118" i="1" s="1"/>
  <c r="C112" i="1" a="1"/>
  <c r="C112" i="1" s="1"/>
  <c r="C106" i="1" a="1"/>
  <c r="C106" i="1" s="1"/>
  <c r="C113" i="1" a="1"/>
  <c r="C113" i="1" s="1"/>
  <c r="C107" i="1" a="1"/>
  <c r="C107" i="1" s="1"/>
  <c r="C114" i="1" a="1"/>
  <c r="C114" i="1" s="1"/>
  <c r="C108" i="1" a="1"/>
  <c r="C108" i="1" s="1"/>
  <c r="C109" i="1" a="1"/>
  <c r="C109" i="1" s="1"/>
  <c r="C103" i="1"/>
  <c r="G71" i="1"/>
  <c r="I19" i="1"/>
  <c r="I12" i="1"/>
  <c r="I20" i="1"/>
  <c r="I24" i="1"/>
  <c r="F43" i="1"/>
  <c r="G85" i="1"/>
  <c r="J85" i="1" s="1"/>
  <c r="H85" i="1" s="1"/>
  <c r="G89" i="1"/>
  <c r="J89" i="1" s="1"/>
  <c r="H89" i="1" s="1"/>
  <c r="H15" i="1"/>
  <c r="D63" i="1"/>
  <c r="D86" i="1"/>
  <c r="I10" i="1"/>
  <c r="I16" i="1"/>
  <c r="I21" i="1"/>
  <c r="I26" i="1"/>
  <c r="I15" i="1"/>
  <c r="I25" i="1"/>
  <c r="I13" i="1"/>
  <c r="D40" i="1"/>
  <c r="I8" i="1"/>
  <c r="I17" i="1"/>
  <c r="I22" i="1"/>
  <c r="I27" i="1"/>
  <c r="F82" i="1"/>
  <c r="F39" i="1"/>
  <c r="F57" i="1"/>
  <c r="F62" i="1"/>
  <c r="F66" i="1"/>
  <c r="F94" i="1"/>
  <c r="F59" i="1"/>
  <c r="F80" i="1"/>
  <c r="I80" i="1" l="1"/>
  <c r="J80" i="1" s="1"/>
  <c r="H80" i="1" s="1"/>
  <c r="G80" i="1"/>
  <c r="I59" i="1"/>
  <c r="G59" i="1"/>
  <c r="J59" i="1" s="1"/>
  <c r="H59" i="1" s="1"/>
  <c r="I94" i="1"/>
  <c r="G94" i="1"/>
  <c r="J94" i="1" s="1"/>
  <c r="H94" i="1" s="1"/>
  <c r="G66" i="1"/>
  <c r="I66" i="1"/>
  <c r="G62" i="1"/>
  <c r="J62" i="1" s="1"/>
  <c r="H62" i="1" s="1"/>
  <c r="I62" i="1"/>
  <c r="J57" i="1"/>
  <c r="H57" i="1" s="1"/>
  <c r="I57" i="1"/>
  <c r="G57" i="1"/>
  <c r="G39" i="1"/>
  <c r="I39" i="1"/>
  <c r="I82" i="1"/>
  <c r="G82" i="1"/>
  <c r="J82" i="1" s="1"/>
  <c r="H82" i="1" s="1"/>
  <c r="G133" i="1"/>
  <c r="G157" i="1"/>
  <c r="I48" i="1"/>
  <c r="J48" i="1" s="1"/>
  <c r="H48" i="1" s="1"/>
  <c r="F44" i="1"/>
  <c r="G163" i="1"/>
  <c r="E112" i="1"/>
  <c r="I139" i="1" s="1"/>
  <c r="D112" i="1"/>
  <c r="G139" i="1"/>
  <c r="I71" i="1"/>
  <c r="J71" i="1"/>
  <c r="H71" i="1" s="1"/>
  <c r="G132" i="1"/>
  <c r="G156" i="1"/>
  <c r="G138" i="1"/>
  <c r="E111" i="1"/>
  <c r="I138" i="1" s="1"/>
  <c r="D111" i="1"/>
  <c r="G162" i="1"/>
  <c r="E113" i="1"/>
  <c r="I140" i="1" s="1"/>
  <c r="D113" i="1"/>
  <c r="G164" i="1"/>
  <c r="G140" i="1"/>
  <c r="G144" i="1"/>
  <c r="E117" i="1"/>
  <c r="I144" i="1" s="1"/>
  <c r="G168" i="1"/>
  <c r="D117" i="1"/>
  <c r="G155" i="1"/>
  <c r="G131" i="1"/>
  <c r="G160" i="1"/>
  <c r="D109" i="1"/>
  <c r="G136" i="1"/>
  <c r="E109" i="1"/>
  <c r="I136" i="1" s="1"/>
  <c r="D110" i="1"/>
  <c r="G161" i="1"/>
  <c r="G137" i="1"/>
  <c r="E110" i="1"/>
  <c r="I137" i="1" s="1"/>
  <c r="F40" i="1"/>
  <c r="I40" i="1" s="1"/>
  <c r="F42" i="1"/>
  <c r="F69" i="1"/>
  <c r="E106" i="1" s="1"/>
  <c r="I133" i="1" s="1"/>
  <c r="F46" i="1"/>
  <c r="I43" i="1"/>
  <c r="G43" i="1"/>
  <c r="G135" i="1"/>
  <c r="G159" i="1"/>
  <c r="E108" i="1"/>
  <c r="I135" i="1" s="1"/>
  <c r="D108" i="1"/>
  <c r="E116" i="1"/>
  <c r="I143" i="1" s="1"/>
  <c r="G143" i="1"/>
  <c r="G167" i="1"/>
  <c r="D116" i="1"/>
  <c r="G154" i="1"/>
  <c r="G130" i="1"/>
  <c r="F72" i="1"/>
  <c r="F49" i="1"/>
  <c r="G165" i="1"/>
  <c r="G141" i="1"/>
  <c r="E114" i="1"/>
  <c r="I141" i="1" s="1"/>
  <c r="D114" i="1"/>
  <c r="G166" i="1"/>
  <c r="G142" i="1"/>
  <c r="E115" i="1"/>
  <c r="I142" i="1" s="1"/>
  <c r="D115" i="1"/>
  <c r="E118" i="1"/>
  <c r="I145" i="1" s="1"/>
  <c r="G145" i="1"/>
  <c r="D118" i="1"/>
  <c r="G169" i="1"/>
  <c r="F70" i="1"/>
  <c r="F47" i="1"/>
  <c r="I28" i="1"/>
  <c r="F41" i="1"/>
  <c r="F45" i="1"/>
  <c r="G158" i="1"/>
  <c r="E107" i="1"/>
  <c r="I134" i="1" s="1"/>
  <c r="D107" i="1"/>
  <c r="G134" i="1"/>
  <c r="F67" i="1"/>
  <c r="F75" i="1"/>
  <c r="F56" i="1"/>
  <c r="F68" i="1"/>
  <c r="F52" i="1"/>
  <c r="F33" i="1"/>
  <c r="F87" i="1"/>
  <c r="F84" i="1"/>
  <c r="F35" i="1"/>
  <c r="F96" i="1"/>
  <c r="F95" i="1"/>
  <c r="F73" i="1"/>
  <c r="F88" i="1"/>
  <c r="F97" i="1"/>
  <c r="F93" i="1"/>
  <c r="F98" i="1"/>
  <c r="F79" i="1"/>
  <c r="F63" i="1"/>
  <c r="F50" i="1"/>
  <c r="F65" i="1"/>
  <c r="F64" i="1"/>
  <c r="F60" i="1"/>
  <c r="F38" i="1"/>
  <c r="F83" i="1"/>
  <c r="F92" i="1"/>
  <c r="F74" i="1"/>
  <c r="F58" i="1"/>
  <c r="F61" i="1"/>
  <c r="F37" i="1"/>
  <c r="F81" i="1"/>
  <c r="F86" i="1"/>
  <c r="F51" i="1"/>
  <c r="F90" i="1"/>
  <c r="F91" i="1"/>
  <c r="J66" i="1" l="1"/>
  <c r="H66" i="1" s="1"/>
  <c r="J39" i="1"/>
  <c r="H39" i="1" s="1"/>
  <c r="I91" i="1"/>
  <c r="G91" i="1"/>
  <c r="J91" i="1" s="1"/>
  <c r="H91" i="1" s="1"/>
  <c r="I90" i="1"/>
  <c r="G90" i="1"/>
  <c r="J90" i="1" s="1"/>
  <c r="H90" i="1" s="1"/>
  <c r="I51" i="1"/>
  <c r="G51" i="1"/>
  <c r="J51" i="1" s="1"/>
  <c r="H51" i="1" s="1"/>
  <c r="G86" i="1"/>
  <c r="J86" i="1" s="1"/>
  <c r="H86" i="1" s="1"/>
  <c r="I86" i="1"/>
  <c r="G81" i="1"/>
  <c r="J81" i="1" s="1"/>
  <c r="I81" i="1"/>
  <c r="F104" i="1"/>
  <c r="H155" i="1" s="1"/>
  <c r="I155" i="1" s="1"/>
  <c r="I37" i="1"/>
  <c r="G37" i="1"/>
  <c r="I61" i="1"/>
  <c r="G61" i="1"/>
  <c r="J61" i="1" s="1"/>
  <c r="H61" i="1" s="1"/>
  <c r="E105" i="1"/>
  <c r="I132" i="1" s="1"/>
  <c r="I58" i="1"/>
  <c r="J58" i="1" s="1"/>
  <c r="H58" i="1" s="1"/>
  <c r="G58" i="1"/>
  <c r="E104" i="1"/>
  <c r="I131" i="1" s="1"/>
  <c r="G74" i="1"/>
  <c r="J74" i="1" s="1"/>
  <c r="H74" i="1" s="1"/>
  <c r="I74" i="1"/>
  <c r="I92" i="1"/>
  <c r="G92" i="1"/>
  <c r="J92" i="1" s="1"/>
  <c r="H92" i="1" s="1"/>
  <c r="M157" i="1" s="1"/>
  <c r="F106" i="1"/>
  <c r="H157" i="1" s="1"/>
  <c r="I157" i="1" s="1"/>
  <c r="I83" i="1"/>
  <c r="G83" i="1"/>
  <c r="G38" i="1"/>
  <c r="I38" i="1"/>
  <c r="L132" i="1" s="1"/>
  <c r="D105" i="1"/>
  <c r="G60" i="1"/>
  <c r="I60" i="1"/>
  <c r="I64" i="1"/>
  <c r="G64" i="1"/>
  <c r="J64" i="1" s="1"/>
  <c r="H64" i="1" s="1"/>
  <c r="I65" i="1"/>
  <c r="G65" i="1"/>
  <c r="J65" i="1" s="1"/>
  <c r="H65" i="1" s="1"/>
  <c r="I50" i="1"/>
  <c r="G50" i="1"/>
  <c r="J50" i="1" s="1"/>
  <c r="H50" i="1" s="1"/>
  <c r="G63" i="1"/>
  <c r="I63" i="1"/>
  <c r="G79" i="1"/>
  <c r="I79" i="1"/>
  <c r="K154" i="1" s="1"/>
  <c r="K170" i="1" s="1"/>
  <c r="F103" i="1"/>
  <c r="I98" i="1"/>
  <c r="G98" i="1"/>
  <c r="J98" i="1" s="1"/>
  <c r="H98" i="1" s="1"/>
  <c r="G93" i="1"/>
  <c r="I93" i="1"/>
  <c r="G97" i="1"/>
  <c r="J97" i="1" s="1"/>
  <c r="H97" i="1" s="1"/>
  <c r="I97" i="1"/>
  <c r="I88" i="1"/>
  <c r="G88" i="1"/>
  <c r="I73" i="1"/>
  <c r="J73" i="1" s="1"/>
  <c r="H73" i="1" s="1"/>
  <c r="G73" i="1"/>
  <c r="G95" i="1"/>
  <c r="J95" i="1" s="1"/>
  <c r="H95" i="1" s="1"/>
  <c r="I95" i="1"/>
  <c r="I96" i="1"/>
  <c r="G96" i="1"/>
  <c r="J96" i="1" s="1"/>
  <c r="H96" i="1" s="1"/>
  <c r="G35" i="1"/>
  <c r="H104" i="1" s="1"/>
  <c r="I35" i="1"/>
  <c r="L131" i="1" s="1"/>
  <c r="D104" i="1"/>
  <c r="I84" i="1"/>
  <c r="G84" i="1"/>
  <c r="J156" i="1" s="1"/>
  <c r="F105" i="1"/>
  <c r="H156" i="1" s="1"/>
  <c r="I156" i="1" s="1"/>
  <c r="I87" i="1"/>
  <c r="G87" i="1"/>
  <c r="G33" i="1"/>
  <c r="I33" i="1"/>
  <c r="D103" i="1"/>
  <c r="I52" i="1"/>
  <c r="G52" i="1"/>
  <c r="J52" i="1" s="1"/>
  <c r="H52" i="1" s="1"/>
  <c r="G68" i="1"/>
  <c r="J68" i="1" s="1"/>
  <c r="H68" i="1" s="1"/>
  <c r="I68" i="1"/>
  <c r="I56" i="1"/>
  <c r="J56" i="1" s="1"/>
  <c r="H56" i="1" s="1"/>
  <c r="G56" i="1"/>
  <c r="E103" i="1"/>
  <c r="I75" i="1"/>
  <c r="J75" i="1" s="1"/>
  <c r="H75" i="1" s="1"/>
  <c r="G75" i="1"/>
  <c r="I67" i="1"/>
  <c r="G67" i="1"/>
  <c r="H118" i="1"/>
  <c r="H134" i="1"/>
  <c r="J134" i="1" s="1"/>
  <c r="K140" i="1"/>
  <c r="H135" i="1"/>
  <c r="J135" i="1" s="1"/>
  <c r="I46" i="1"/>
  <c r="G46" i="1"/>
  <c r="H106" i="1" s="1"/>
  <c r="H140" i="1"/>
  <c r="J140" i="1" s="1"/>
  <c r="K157" i="1"/>
  <c r="J157" i="1"/>
  <c r="H142" i="1"/>
  <c r="J142" i="1" s="1"/>
  <c r="J154" i="1"/>
  <c r="J170" i="1" s="1"/>
  <c r="L161" i="1"/>
  <c r="K161" i="1"/>
  <c r="J161" i="1"/>
  <c r="M161" i="1"/>
  <c r="K132" i="1"/>
  <c r="H107" i="1"/>
  <c r="I41" i="1"/>
  <c r="G41" i="1"/>
  <c r="J41" i="1" s="1"/>
  <c r="H41" i="1" s="1"/>
  <c r="M169" i="1"/>
  <c r="L169" i="1"/>
  <c r="K169" i="1"/>
  <c r="J169" i="1"/>
  <c r="M165" i="1"/>
  <c r="L165" i="1"/>
  <c r="K165" i="1"/>
  <c r="J165" i="1"/>
  <c r="I112" i="1"/>
  <c r="D106" i="1"/>
  <c r="M160" i="1"/>
  <c r="L160" i="1"/>
  <c r="K160" i="1"/>
  <c r="J160" i="1"/>
  <c r="L134" i="1"/>
  <c r="I47" i="1"/>
  <c r="G47" i="1"/>
  <c r="J47" i="1" s="1"/>
  <c r="H47" i="1" s="1"/>
  <c r="G70" i="1"/>
  <c r="J70" i="1" s="1"/>
  <c r="H70" i="1" s="1"/>
  <c r="I70" i="1"/>
  <c r="H137" i="1"/>
  <c r="J137" i="1" s="1"/>
  <c r="M162" i="1"/>
  <c r="L162" i="1"/>
  <c r="K162" i="1"/>
  <c r="J162" i="1"/>
  <c r="J43" i="1"/>
  <c r="H138" i="1"/>
  <c r="J138" i="1" s="1"/>
  <c r="J163" i="1"/>
  <c r="M163" i="1"/>
  <c r="L163" i="1"/>
  <c r="K163" i="1"/>
  <c r="H145" i="1"/>
  <c r="J145" i="1" s="1"/>
  <c r="L142" i="1"/>
  <c r="K142" i="1"/>
  <c r="I49" i="1"/>
  <c r="G49" i="1"/>
  <c r="J49" i="1" s="1"/>
  <c r="H49" i="1" s="1"/>
  <c r="H143" i="1"/>
  <c r="J143" i="1" s="1"/>
  <c r="M159" i="1"/>
  <c r="L159" i="1"/>
  <c r="K159" i="1"/>
  <c r="J159" i="1"/>
  <c r="I109" i="1"/>
  <c r="L138" i="1"/>
  <c r="K138" i="1"/>
  <c r="K135" i="1"/>
  <c r="L144" i="1"/>
  <c r="H139" i="1"/>
  <c r="J139" i="1" s="1"/>
  <c r="L166" i="1"/>
  <c r="K166" i="1"/>
  <c r="J166" i="1"/>
  <c r="M166" i="1"/>
  <c r="H110" i="1"/>
  <c r="H111" i="1"/>
  <c r="K155" i="1"/>
  <c r="J155" i="1"/>
  <c r="M164" i="1"/>
  <c r="L164" i="1"/>
  <c r="K164" i="1"/>
  <c r="J164" i="1"/>
  <c r="G40" i="1"/>
  <c r="J40" i="1" s="1"/>
  <c r="H40" i="1" s="1"/>
  <c r="L141" i="1"/>
  <c r="K141" i="1"/>
  <c r="J69" i="1"/>
  <c r="H69" i="1" s="1"/>
  <c r="I69" i="1"/>
  <c r="L133" i="1" s="1"/>
  <c r="G69" i="1"/>
  <c r="M158" i="1"/>
  <c r="L158" i="1"/>
  <c r="K158" i="1"/>
  <c r="J158" i="1"/>
  <c r="K145" i="1"/>
  <c r="J72" i="1"/>
  <c r="H72" i="1" s="1"/>
  <c r="G72" i="1"/>
  <c r="I72" i="1"/>
  <c r="D13" i="1"/>
  <c r="E133" i="1" s="1"/>
  <c r="E155" i="1" s="1"/>
  <c r="D11" i="1"/>
  <c r="E132" i="1" s="1"/>
  <c r="E154" i="1" s="1"/>
  <c r="M167" i="1"/>
  <c r="L167" i="1"/>
  <c r="K167" i="1"/>
  <c r="J167" i="1"/>
  <c r="I108" i="1"/>
  <c r="G42" i="1"/>
  <c r="J42" i="1" s="1"/>
  <c r="H42" i="1" s="1"/>
  <c r="I42" i="1"/>
  <c r="L137" i="1"/>
  <c r="K137" i="1"/>
  <c r="K136" i="1"/>
  <c r="H144" i="1"/>
  <c r="J144" i="1" s="1"/>
  <c r="K156" i="1"/>
  <c r="H114" i="1"/>
  <c r="K131" i="1"/>
  <c r="G45" i="1"/>
  <c r="I45" i="1"/>
  <c r="J45" i="1" s="1"/>
  <c r="H45" i="1" s="1"/>
  <c r="H141" i="1"/>
  <c r="J141" i="1" s="1"/>
  <c r="H116" i="1"/>
  <c r="J168" i="1"/>
  <c r="M168" i="1"/>
  <c r="L168" i="1"/>
  <c r="K168" i="1"/>
  <c r="H112" i="1"/>
  <c r="I44" i="1"/>
  <c r="L140" i="1" s="1"/>
  <c r="G44" i="1"/>
  <c r="K134" i="1" s="1"/>
  <c r="L143" i="1"/>
  <c r="K143" i="1"/>
  <c r="H136" i="1"/>
  <c r="J136" i="1" s="1"/>
  <c r="H81" i="1" l="1"/>
  <c r="M155" i="1" s="1"/>
  <c r="L155" i="1"/>
  <c r="J84" i="1"/>
  <c r="J88" i="1"/>
  <c r="H88" i="1" s="1"/>
  <c r="J79" i="1"/>
  <c r="I104" i="1"/>
  <c r="J63" i="1"/>
  <c r="H63" i="1" s="1"/>
  <c r="I103" i="1"/>
  <c r="I119" i="1" s="1"/>
  <c r="J93" i="1"/>
  <c r="H93" i="1" s="1"/>
  <c r="J37" i="1"/>
  <c r="H37" i="1" s="1"/>
  <c r="J83" i="1"/>
  <c r="H83" i="1" s="1"/>
  <c r="J67" i="1"/>
  <c r="H67" i="1" s="1"/>
  <c r="K130" i="1"/>
  <c r="K146" i="1" s="1"/>
  <c r="J87" i="1"/>
  <c r="H87" i="1" s="1"/>
  <c r="J60" i="1"/>
  <c r="H60" i="1" s="1"/>
  <c r="H84" i="1"/>
  <c r="M156" i="1" s="1"/>
  <c r="L156" i="1"/>
  <c r="H79" i="1"/>
  <c r="M154" i="1" s="1"/>
  <c r="M170" i="1" s="1"/>
  <c r="L154" i="1"/>
  <c r="L170" i="1" s="1"/>
  <c r="H130" i="1"/>
  <c r="D119" i="1"/>
  <c r="G103" i="1"/>
  <c r="G119" i="1" s="1"/>
  <c r="F118" i="1"/>
  <c r="F116" i="1"/>
  <c r="F111" i="1"/>
  <c r="F115" i="1"/>
  <c r="F113" i="1"/>
  <c r="F108" i="1"/>
  <c r="F109" i="1"/>
  <c r="F112" i="1"/>
  <c r="F117" i="1"/>
  <c r="F107" i="1"/>
  <c r="F110" i="1"/>
  <c r="F114" i="1"/>
  <c r="I106" i="1"/>
  <c r="I130" i="1"/>
  <c r="I146" i="1" s="1"/>
  <c r="E119" i="1"/>
  <c r="H103" i="1"/>
  <c r="H119" i="1" s="1"/>
  <c r="J35" i="1"/>
  <c r="F119" i="1"/>
  <c r="H154" i="1"/>
  <c r="I154" i="1" s="1"/>
  <c r="I170" i="1" s="1"/>
  <c r="L135" i="1"/>
  <c r="J46" i="1"/>
  <c r="K139" i="1"/>
  <c r="J33" i="1"/>
  <c r="L136" i="1"/>
  <c r="L145" i="1"/>
  <c r="L139" i="1"/>
  <c r="G106" i="1"/>
  <c r="H133" i="1"/>
  <c r="J133" i="1" s="1"/>
  <c r="H115" i="1"/>
  <c r="I110" i="1"/>
  <c r="G105" i="1"/>
  <c r="H132" i="1"/>
  <c r="J132" i="1" s="1"/>
  <c r="I113" i="1"/>
  <c r="I117" i="1"/>
  <c r="I111" i="1"/>
  <c r="I105" i="1"/>
  <c r="I118" i="1"/>
  <c r="I116" i="1"/>
  <c r="L130" i="1"/>
  <c r="L146" i="1" s="1"/>
  <c r="H108" i="1"/>
  <c r="H117" i="1"/>
  <c r="H43" i="1"/>
  <c r="J117" i="1"/>
  <c r="J107" i="1"/>
  <c r="J114" i="1"/>
  <c r="H109" i="1"/>
  <c r="I107" i="1"/>
  <c r="L157" i="1"/>
  <c r="H105" i="1"/>
  <c r="J44" i="1"/>
  <c r="I115" i="1"/>
  <c r="K144" i="1"/>
  <c r="H113" i="1"/>
  <c r="K133" i="1"/>
  <c r="J38" i="1"/>
  <c r="I114" i="1"/>
  <c r="H131" i="1"/>
  <c r="J131" i="1" s="1"/>
  <c r="G104" i="1"/>
  <c r="H164" i="1" l="1"/>
  <c r="I164" i="1" s="1"/>
  <c r="G113" i="1"/>
  <c r="H44" i="1"/>
  <c r="M142" i="1"/>
  <c r="M136" i="1"/>
  <c r="M143" i="1"/>
  <c r="M139" i="1"/>
  <c r="M134" i="1"/>
  <c r="M144" i="1"/>
  <c r="M135" i="1"/>
  <c r="M145" i="1"/>
  <c r="M141" i="1"/>
  <c r="J111" i="1"/>
  <c r="H169" i="1"/>
  <c r="I169" i="1" s="1"/>
  <c r="G118" i="1"/>
  <c r="H35" i="1"/>
  <c r="J104" i="1"/>
  <c r="M131" i="1"/>
  <c r="M140" i="1"/>
  <c r="J109" i="1"/>
  <c r="H165" i="1"/>
  <c r="I165" i="1" s="1"/>
  <c r="G114" i="1"/>
  <c r="H158" i="1"/>
  <c r="I158" i="1" s="1"/>
  <c r="G107" i="1"/>
  <c r="J130" i="1"/>
  <c r="J146" i="1" s="1"/>
  <c r="E134" i="1" s="1"/>
  <c r="E156" i="1" s="1"/>
  <c r="E157" i="1" s="1"/>
  <c r="H146" i="1"/>
  <c r="H166" i="1"/>
  <c r="I166" i="1" s="1"/>
  <c r="G115" i="1"/>
  <c r="H167" i="1"/>
  <c r="I167" i="1" s="1"/>
  <c r="G116" i="1"/>
  <c r="J108" i="1"/>
  <c r="H161" i="1"/>
  <c r="I161" i="1" s="1"/>
  <c r="G110" i="1"/>
  <c r="J110" i="1"/>
  <c r="M137" i="1"/>
  <c r="J112" i="1"/>
  <c r="H46" i="1"/>
  <c r="J106" i="1"/>
  <c r="M133" i="1"/>
  <c r="M138" i="1"/>
  <c r="J116" i="1"/>
  <c r="K108" i="1"/>
  <c r="K109" i="1"/>
  <c r="K113" i="1"/>
  <c r="K115" i="1"/>
  <c r="K107" i="1"/>
  <c r="K117" i="1"/>
  <c r="K118" i="1"/>
  <c r="K112" i="1"/>
  <c r="K116" i="1"/>
  <c r="K111" i="1"/>
  <c r="K114" i="1"/>
  <c r="K110" i="1"/>
  <c r="N140" i="1"/>
  <c r="N142" i="1"/>
  <c r="N138" i="1"/>
  <c r="N137" i="1"/>
  <c r="N143" i="1"/>
  <c r="N135" i="1"/>
  <c r="N141" i="1"/>
  <c r="N145" i="1"/>
  <c r="N136" i="1"/>
  <c r="N144" i="1"/>
  <c r="N139" i="1"/>
  <c r="N134" i="1"/>
  <c r="H163" i="1"/>
  <c r="I163" i="1" s="1"/>
  <c r="G112" i="1"/>
  <c r="J113" i="1"/>
  <c r="H33" i="1"/>
  <c r="J103" i="1"/>
  <c r="J119" i="1" s="1"/>
  <c r="M130" i="1"/>
  <c r="M146" i="1" s="1"/>
  <c r="H168" i="1"/>
  <c r="I168" i="1" s="1"/>
  <c r="G117" i="1"/>
  <c r="H38" i="1"/>
  <c r="J105" i="1"/>
  <c r="M132" i="1"/>
  <c r="J118" i="1"/>
  <c r="H160" i="1"/>
  <c r="I160" i="1" s="1"/>
  <c r="G109" i="1"/>
  <c r="H162" i="1"/>
  <c r="I162" i="1" s="1"/>
  <c r="G111" i="1"/>
  <c r="J115" i="1"/>
  <c r="H159" i="1"/>
  <c r="I159" i="1" s="1"/>
  <c r="G108" i="1"/>
  <c r="K103" i="1" l="1"/>
  <c r="K119" i="1" s="1"/>
  <c r="D14" i="1" s="1"/>
  <c r="N130" i="1"/>
  <c r="N146" i="1" s="1"/>
  <c r="K104" i="1"/>
  <c r="N131" i="1"/>
  <c r="K106" i="1"/>
  <c r="N133" i="1"/>
  <c r="K105" i="1"/>
  <c r="N132" i="1"/>
</calcChain>
</file>

<file path=xl/comments1.xml><?xml version="1.0" encoding="utf-8"?>
<comments xmlns="http://schemas.openxmlformats.org/spreadsheetml/2006/main">
  <authors>
    <author/>
  </authors>
  <commentList>
    <comment ref="F9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/>
            <sz val="9"/>
            <color rgb="FF000000"/>
            <rFont val="Tahoma"/>
            <family val="2"/>
            <charset val="1"/>
          </rPr>
          <t>Possibile RP AFFIDAMENTO</t>
        </r>
      </text>
    </comment>
    <comment ref="H9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Valorizzare se RP AFFIDAMENTO</t>
        </r>
      </text>
    </comment>
    <comment ref="F10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/>
            <sz val="9"/>
            <color rgb="FF000000"/>
            <rFont val="Tahoma"/>
            <family val="2"/>
            <charset val="1"/>
          </rPr>
          <t>Possibile RP ESECUZIONE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Valorizzare se RP ESECUZIONE</t>
        </r>
      </text>
    </comment>
    <comment ref="F15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Coincidenza con RUP</t>
        </r>
      </text>
    </comment>
    <comment ref="F16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Coincidenza con RUP</t>
        </r>
      </text>
    </comment>
    <comment ref="H16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Inserire solo NOMINATIVI</t>
        </r>
      </text>
    </comment>
    <comment ref="F21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 xml:space="preserve">Coincidenza con RUP
</t>
        </r>
      </text>
    </comment>
    <comment ref="H21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Keep the Value</t>
        </r>
      </text>
    </comment>
    <comment ref="F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/>
            <sz val="9"/>
            <color rgb="FF000000"/>
            <rFont val="Tahoma"/>
            <family val="2"/>
            <charset val="1"/>
          </rPr>
          <t>POSSIBILE Direttori Operativi</t>
        </r>
      </text>
    </comment>
    <comment ref="H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Valorizzare se CSE</t>
        </r>
      </text>
    </comment>
    <comment ref="F24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i/>
            <sz val="9"/>
            <color rgb="FF000000"/>
            <rFont val="Tahoma"/>
            <family val="2"/>
            <charset val="1"/>
          </rPr>
          <t>POSSIBILE COLLAUDO</t>
        </r>
      </text>
    </comment>
    <comment ref="H24" authorId="0" shapeId="0">
      <text>
        <r>
          <rPr>
            <sz val="11"/>
            <color rgb="FF000000"/>
            <rFont val="Calibri"/>
            <family val="2"/>
            <charset val="1"/>
          </rPr>
          <t xml:space="preserve">CASOLATI ALBERTO:
</t>
        </r>
        <r>
          <rPr>
            <sz val="9"/>
            <color rgb="FF000000"/>
            <rFont val="Tahoma"/>
            <family val="2"/>
            <charset val="1"/>
          </rPr>
          <t>Valorizzare se COLLAUDO</t>
        </r>
      </text>
    </comment>
  </commentList>
</comments>
</file>

<file path=xl/sharedStrings.xml><?xml version="1.0" encoding="utf-8"?>
<sst xmlns="http://schemas.openxmlformats.org/spreadsheetml/2006/main" count="300" uniqueCount="147">
  <si>
    <t>APPALTO</t>
  </si>
  <si>
    <t>MANUTENZIONE IMPIANTO DI VIDEOSORVEGLIANZA E VARCHI TARGA</t>
  </si>
  <si>
    <t>CUP</t>
  </si>
  <si>
    <t>---</t>
  </si>
  <si>
    <t>CIG</t>
  </si>
  <si>
    <t>Importo</t>
  </si>
  <si>
    <t>RUOLI</t>
  </si>
  <si>
    <t>INCARICATO</t>
  </si>
  <si>
    <t>QUOTA</t>
  </si>
  <si>
    <t>IMPORTO Lordo</t>
  </si>
  <si>
    <t xml:space="preserve">CHECK VALUE </t>
  </si>
  <si>
    <t>Controllo TEMPISTICHE</t>
  </si>
  <si>
    <t>Aliquota</t>
  </si>
  <si>
    <t>RUP</t>
  </si>
  <si>
    <t>LEONE Luca</t>
  </si>
  <si>
    <t>Fase</t>
  </si>
  <si>
    <t>Avvio</t>
  </si>
  <si>
    <t>Termine</t>
  </si>
  <si>
    <t>Check</t>
  </si>
  <si>
    <t>Varizione</t>
  </si>
  <si>
    <t>Note</t>
  </si>
  <si>
    <t xml:space="preserve">Riduzione </t>
  </si>
  <si>
    <t>programmazione</t>
  </si>
  <si>
    <t>INCENTIVO art. 45</t>
  </si>
  <si>
    <t>TROIANI Claudia</t>
  </si>
  <si>
    <t>progetto</t>
  </si>
  <si>
    <t>////</t>
  </si>
  <si>
    <t>di cui Quota 20% - INCREMENTATA in funzione degli art. 4 &amp; 5 del regolamento</t>
  </si>
  <si>
    <t>PSI</t>
  </si>
  <si>
    <t>n/a</t>
  </si>
  <si>
    <t>verifica</t>
  </si>
  <si>
    <t>(**)</t>
  </si>
  <si>
    <t>PG</t>
  </si>
  <si>
    <t>gara</t>
  </si>
  <si>
    <t>di cui Quota 80% - erogabile</t>
  </si>
  <si>
    <t>-</t>
  </si>
  <si>
    <t>servizio</t>
  </si>
  <si>
    <t>IRAP a carico dell'ente secondo delibera  N. 103/2026/PAR  sezione regionale Lombardia della Corte dei Conti</t>
  </si>
  <si>
    <t>Totale Giorni</t>
  </si>
  <si>
    <t>VPCPA</t>
  </si>
  <si>
    <r>
      <rPr>
        <sz val="11"/>
        <color rgb="FF000000"/>
        <rFont val="Calibri"/>
        <family val="2"/>
        <charset val="1"/>
      </rPr>
      <t xml:space="preserve">VPCPA o </t>
    </r>
    <r>
      <rPr>
        <i/>
        <u/>
        <sz val="11"/>
        <rFont val="Calibri"/>
        <family val="2"/>
        <charset val="1"/>
      </rPr>
      <t xml:space="preserve"> (CUC)</t>
    </r>
  </si>
  <si>
    <t>CONSIP</t>
  </si>
  <si>
    <t>NO</t>
  </si>
  <si>
    <t>Controllo COSTI</t>
  </si>
  <si>
    <t>Previsionale</t>
  </si>
  <si>
    <t>Consuntivo</t>
  </si>
  <si>
    <t>Var %</t>
  </si>
  <si>
    <r>
      <rPr>
        <sz val="11"/>
        <color rgb="FF000000"/>
        <rFont val="Calibri"/>
        <family val="2"/>
        <charset val="1"/>
      </rPr>
      <t xml:space="preserve"> La presente rendicontazione redatta come scheda ai sensi dell'</t>
    </r>
    <r>
      <rPr>
        <b/>
        <i/>
        <sz val="11"/>
        <color rgb="FF000000"/>
        <rFont val="Calibri"/>
        <family val="2"/>
        <charset val="1"/>
      </rPr>
      <t>art.7 del regolamento</t>
    </r>
    <r>
      <rPr>
        <sz val="11"/>
        <color rgb="FF000000"/>
        <rFont val="Calibri"/>
        <family val="2"/>
        <charset val="1"/>
      </rPr>
      <t xml:space="preserve"> e successivamente trasmessa all</t>
    </r>
    <r>
      <rPr>
        <i/>
        <u/>
        <sz val="11"/>
        <color rgb="FF000000"/>
        <rFont val="Calibri"/>
        <family val="2"/>
        <charset val="1"/>
      </rPr>
      <t xml:space="preserve">'O.I.V </t>
    </r>
    <r>
      <rPr>
        <i/>
        <u/>
        <sz val="8"/>
        <color rgb="FF000000"/>
        <rFont val="Calibri"/>
        <family val="2"/>
        <charset val="1"/>
      </rPr>
      <t>&amp;</t>
    </r>
    <r>
      <rPr>
        <i/>
        <u/>
        <sz val="11"/>
        <color rgb="FF000000"/>
        <rFont val="Calibri"/>
        <family val="2"/>
        <charset val="1"/>
      </rPr>
      <t xml:space="preserve"> R.S.U</t>
    </r>
    <r>
      <rPr>
        <sz val="11"/>
        <color rgb="FF000000"/>
        <rFont val="Calibri"/>
        <family val="2"/>
        <charset val="1"/>
      </rPr>
      <t xml:space="preserve"> dal servizio Personale con cadenza Annuale  per costituire documentazione utile alla valutazione del Dirigente Interessato 													
													</t>
    </r>
  </si>
  <si>
    <t>(**) ripartizione rimodulata ai sensi dell'art. 2 c.7 del Regolamento</t>
  </si>
  <si>
    <t>DEC</t>
  </si>
  <si>
    <t>GIUSTINO Andrea</t>
  </si>
  <si>
    <t>Motivazioni</t>
  </si>
  <si>
    <t xml:space="preserve">(***) quota determinata nel rispetto delle riduzioni ed abbattimenti dell'art. 4 e 9 del Regolamento </t>
  </si>
  <si>
    <t>(*) l'eventuale individuazione della risorsa è rimessa alla fase specifica con attribuzione dell'aliquota di competenza, valutata in funzione della complessità, strategicità e valore dell'intervento quale quota-parte dell'aliquota complessiva prevista per l'attività.</t>
  </si>
  <si>
    <t>CS</t>
  </si>
  <si>
    <t>(***)</t>
  </si>
  <si>
    <t>Fase di PROGRAMMAZIONE</t>
  </si>
  <si>
    <t>Incaricato</t>
  </si>
  <si>
    <t>Quota FASE</t>
  </si>
  <si>
    <t>Inps/cpdel</t>
  </si>
  <si>
    <t>Irap</t>
  </si>
  <si>
    <t>Inail</t>
  </si>
  <si>
    <t>LIQUIDABILE</t>
  </si>
  <si>
    <t>CUC</t>
  </si>
  <si>
    <t>_RP AFFIDAMENTO</t>
  </si>
  <si>
    <t>_RP ESECUZIONE</t>
  </si>
  <si>
    <t>VPCPAcuc</t>
  </si>
  <si>
    <t>_DIRETTORE OPEARTIVI</t>
  </si>
  <si>
    <t>_VERIFICA CONF. (*)</t>
  </si>
  <si>
    <t>AFFIDAMENTO</t>
  </si>
  <si>
    <t>Fine INTERVENTO</t>
  </si>
  <si>
    <t>PROGRAMMAZIONE</t>
  </si>
  <si>
    <t xml:space="preserve">Fine INTERVENTO </t>
  </si>
  <si>
    <t>TOTALE</t>
  </si>
  <si>
    <t>IRAP a carico dell'ente</t>
  </si>
  <si>
    <t>(firmato digitalmente)</t>
  </si>
  <si>
    <t>IL RUP</t>
  </si>
  <si>
    <t>IL DIRIGENTE</t>
  </si>
  <si>
    <t xml:space="preserve">TOTALE </t>
  </si>
  <si>
    <t>OPERA</t>
  </si>
  <si>
    <t>IMPORTO DA LIQUIDARE</t>
  </si>
  <si>
    <t>Quota 20% - acc.</t>
  </si>
  <si>
    <t>Quota 80% - erogabile</t>
  </si>
  <si>
    <t xml:space="preserve">_Di cui Fase PROGAMMAZIONE &amp; AFFIDAMENTO </t>
  </si>
  <si>
    <t>PROSPETTO DI DETTAGLIO PER L'EROGAZIONE DEI CORRISPETTIVI A CURA DEL SERVIZIO GESTIONE RISORSE UMANE</t>
  </si>
  <si>
    <t>_Di cui Fase FINE INTERVENTO</t>
  </si>
  <si>
    <t>STT_2026_00022</t>
  </si>
  <si>
    <t>SI</t>
  </si>
  <si>
    <t>BIGAGNOLI Chiara</t>
  </si>
  <si>
    <t>BRESSAN Angela</t>
  </si>
  <si>
    <t>CAPPELLINO Girolamo</t>
  </si>
  <si>
    <t>AVANZO Pasquale</t>
  </si>
  <si>
    <t>COMPETENZE</t>
  </si>
  <si>
    <t>ALIQUOTA INC.</t>
  </si>
  <si>
    <t>CARMINATI Alessandro</t>
  </si>
  <si>
    <t>CASOLATI Alberto</t>
  </si>
  <si>
    <t>_RP AFFIDAMENTO (*)</t>
  </si>
  <si>
    <t>CAVENAGHI Ivan</t>
  </si>
  <si>
    <t>_RP ESECUZIONE (*)</t>
  </si>
  <si>
    <t>COLOMBO Francesca</t>
  </si>
  <si>
    <t>_CSP (*)</t>
  </si>
  <si>
    <t>CONSOLATI Francesco</t>
  </si>
  <si>
    <t>_CSE (*)</t>
  </si>
  <si>
    <t>IELASI Paola</t>
  </si>
  <si>
    <t>Riduzioni Applicate</t>
  </si>
  <si>
    <t>TEDDE Giovanna</t>
  </si>
  <si>
    <t>FRONZUTI Riccardo</t>
  </si>
  <si>
    <t>GARLASCHI Annalisa</t>
  </si>
  <si>
    <t>GUALANDI Angelo</t>
  </si>
  <si>
    <t>LAURETTI Francesca</t>
  </si>
  <si>
    <t>LOIACONO Graziana</t>
  </si>
  <si>
    <t>LOMBARDO Dario</t>
  </si>
  <si>
    <t>LOVAGLIO Lorenzo</t>
  </si>
  <si>
    <t>LUCARELLI Francesca</t>
  </si>
  <si>
    <t>MARTIGNAGO Tatiana</t>
  </si>
  <si>
    <t>MASI Gianluca</t>
  </si>
  <si>
    <t>MELILLO Fabio</t>
  </si>
  <si>
    <t>MONICO Stefano</t>
  </si>
  <si>
    <t>MURGOLO Ezio</t>
  </si>
  <si>
    <t>ORLANDI Barbara</t>
  </si>
  <si>
    <t>SALCICCIA  Lorenzo</t>
  </si>
  <si>
    <t>SCHILLACI Fabrizio</t>
  </si>
  <si>
    <t>√</t>
  </si>
  <si>
    <t>SENTIERO Monica</t>
  </si>
  <si>
    <t>!</t>
  </si>
  <si>
    <t>SPINELLI Valentina</t>
  </si>
  <si>
    <t>TOLOMEI Rossella</t>
  </si>
  <si>
    <t>TOSI Pierangelo</t>
  </si>
  <si>
    <t>TURRINI Mauro</t>
  </si>
  <si>
    <t>Polizia Locale</t>
  </si>
  <si>
    <t>Aliquote per Totale</t>
  </si>
  <si>
    <t>INAIL</t>
  </si>
  <si>
    <t>ZUCCHI Carmen</t>
  </si>
  <si>
    <t>BRANCA Marta</t>
  </si>
  <si>
    <t>ESTERNO</t>
  </si>
  <si>
    <t>tot</t>
  </si>
  <si>
    <t xml:space="preserve">Determina liquidazione (programm./affidamento) </t>
  </si>
  <si>
    <t>Consegna documentazione</t>
  </si>
  <si>
    <t>Mese liquidazione effettiva</t>
  </si>
  <si>
    <t>Determina liquidazione (fine intervento)</t>
  </si>
  <si>
    <t>SCHEDA FIRMATA IN CARTELLA</t>
  </si>
  <si>
    <t>DETERMINA DI LIQUIDAZIONE 1° FASE FATTA</t>
  </si>
  <si>
    <t>LIQUIDATA 1° FASE</t>
  </si>
  <si>
    <t>DETERMINA DI LIQUIDAZIONE 2° FASE FATTA</t>
  </si>
  <si>
    <t>LIQUIDATA 2° FASE</t>
  </si>
  <si>
    <t>percorso dove trovare le schede</t>
  </si>
  <si>
    <t>BCC8268AAD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</si>
</sst>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€-410]#,##0.00\ ;[$€-410]\(#,##0.00\);[$€-410]\-00\ ;@\ "/>
    <numFmt numFmtId="165" formatCode="#,##0.00\ ;&quot; (&quot;#,##0.00\);&quot; -&quot;00\ ;@\ "/>
    <numFmt numFmtId="166" formatCode="_-* #,##0.00&quot; €&quot;_-;\-* #,##0.00&quot; €&quot;_-;_-* \-??&quot; €&quot;_-;_-@_-"/>
    <numFmt numFmtId="167" formatCode="#,##0.00\ ;\-#,##0.00\ ;&quot; -&quot;00\ ;@\ "/>
    <numFmt numFmtId="168" formatCode="_-* #,##0.00\ [$€-410]_-;\-* #,##0.00\ [$€-410]_-;_-* \-??\ [$€-410]_-;_-@_-"/>
    <numFmt numFmtId="169" formatCode="0.0%"/>
  </numFmts>
  <fonts count="40">
    <font>
      <sz val="11"/>
      <color rgb="FF000000"/>
      <name val="Calibri"/>
      <family val="2"/>
      <charset val="1"/>
    </font>
    <font>
      <b/>
      <sz val="11"/>
      <color rgb="FFFFFFFF"/>
      <name val="MS Sans Serif1"/>
      <charset val="1"/>
    </font>
    <font>
      <b/>
      <sz val="11"/>
      <color rgb="FF000000"/>
      <name val="MS Sans Serif1"/>
      <charset val="1"/>
    </font>
    <font>
      <sz val="11"/>
      <color rgb="FFCC0000"/>
      <name val="MS Sans Serif1"/>
      <charset val="1"/>
    </font>
    <font>
      <sz val="10"/>
      <color rgb="FF000000"/>
      <name val="Arial"/>
      <family val="2"/>
      <charset val="1"/>
    </font>
    <font>
      <i/>
      <sz val="11"/>
      <color rgb="FF808080"/>
      <name val="MS Sans Serif1"/>
      <charset val="1"/>
    </font>
    <font>
      <sz val="11"/>
      <color rgb="FF006600"/>
      <name val="MS Sans Serif1"/>
      <charset val="1"/>
    </font>
    <font>
      <b/>
      <sz val="18"/>
      <color rgb="FF000000"/>
      <name val="MS Sans Serif1"/>
      <charset val="1"/>
    </font>
    <font>
      <b/>
      <sz val="24"/>
      <color rgb="FF000000"/>
      <name val="MS Sans Serif1"/>
      <charset val="1"/>
    </font>
    <font>
      <b/>
      <sz val="12"/>
      <color rgb="FF000000"/>
      <name val="MS Sans Serif1"/>
      <charset val="1"/>
    </font>
    <font>
      <u/>
      <sz val="11"/>
      <color rgb="FF0000EE"/>
      <name val="MS Sans Serif1"/>
      <charset val="1"/>
    </font>
    <font>
      <sz val="11"/>
      <color rgb="FF996600"/>
      <name val="MS Sans Serif1"/>
      <charset val="1"/>
    </font>
    <font>
      <sz val="11"/>
      <color rgb="FF000000"/>
      <name val="MS Sans Serif1"/>
      <charset val="1"/>
    </font>
    <font>
      <sz val="11"/>
      <color rgb="FF333333"/>
      <name val="MS Sans Serif1"/>
      <charset val="1"/>
    </font>
    <font>
      <b/>
      <i/>
      <u/>
      <sz val="11"/>
      <color rgb="FF000000"/>
      <name val="MS Sans Serif1"/>
      <charset val="1"/>
    </font>
    <font>
      <b/>
      <sz val="11"/>
      <color rgb="FF000000"/>
      <name val="MS Sans Serif"/>
      <charset val="1"/>
    </font>
    <font>
      <i/>
      <sz val="10"/>
      <color rgb="FF000000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C00000"/>
      <name val="Calibri"/>
      <family val="2"/>
      <charset val="1"/>
    </font>
    <font>
      <u/>
      <sz val="11"/>
      <color rgb="FF0563C1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FF0000"/>
      <name val="Calibri"/>
      <family val="2"/>
      <charset val="1"/>
    </font>
    <font>
      <i/>
      <u/>
      <sz val="11"/>
      <name val="Calibri"/>
      <family val="2"/>
      <charset val="1"/>
    </font>
    <font>
      <i/>
      <u/>
      <sz val="11"/>
      <color rgb="FF000000"/>
      <name val="Calibri"/>
      <family val="2"/>
      <charset val="1"/>
    </font>
    <font>
      <i/>
      <u/>
      <sz val="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i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/>
      <i/>
      <sz val="9"/>
      <color rgb="FFC00000"/>
      <name val="Calibri"/>
      <family val="2"/>
      <charset val="1"/>
    </font>
    <font>
      <b/>
      <i/>
      <sz val="11"/>
      <color rgb="FFC00000"/>
      <name val="Calibri"/>
      <family val="2"/>
      <charset val="1"/>
    </font>
    <font>
      <b/>
      <sz val="11"/>
      <color rgb="FF00B050"/>
      <name val="Agency FB"/>
      <family val="2"/>
      <charset val="1"/>
    </font>
    <font>
      <sz val="11"/>
      <color rgb="FFFF0000"/>
      <name val="Agency FB"/>
      <family val="2"/>
      <charset val="1"/>
    </font>
    <font>
      <b/>
      <sz val="9"/>
      <color rgb="FFFF0000"/>
      <name val="Calibri"/>
      <family val="2"/>
      <charset val="1"/>
    </font>
    <font>
      <b/>
      <sz val="8"/>
      <name val="Calibri"/>
      <family val="2"/>
      <charset val="1"/>
    </font>
    <font>
      <sz val="8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FFE0E0"/>
      </patternFill>
    </fill>
    <fill>
      <patternFill patternType="solid">
        <fgColor rgb="FFFFCCCC"/>
        <bgColor rgb="FFFFC7CE"/>
      </patternFill>
    </fill>
    <fill>
      <patternFill patternType="solid">
        <fgColor rgb="FFCC0000"/>
        <bgColor rgb="FFC00000"/>
      </patternFill>
    </fill>
    <fill>
      <patternFill patternType="solid">
        <fgColor rgb="FFCCFFCC"/>
        <bgColor rgb="FFC5E0B4"/>
      </patternFill>
    </fill>
    <fill>
      <patternFill patternType="solid">
        <fgColor rgb="FFFFFFCC"/>
        <bgColor rgb="FFFFFCF0"/>
      </patternFill>
    </fill>
    <fill>
      <patternFill patternType="solid">
        <fgColor rgb="FFC5E0B4"/>
        <bgColor rgb="FFDDDDDD"/>
      </patternFill>
    </fill>
    <fill>
      <patternFill patternType="solid">
        <fgColor rgb="FFBFBFBF"/>
        <bgColor rgb="FF9DC3E6"/>
      </patternFill>
    </fill>
    <fill>
      <patternFill patternType="solid">
        <fgColor rgb="FFFFFF00"/>
        <bgColor rgb="FFFFFF00"/>
      </patternFill>
    </fill>
    <fill>
      <patternFill patternType="solid">
        <fgColor rgb="FFF4B183"/>
        <bgColor rgb="FFFFC7CE"/>
      </patternFill>
    </fill>
    <fill>
      <patternFill patternType="solid">
        <fgColor rgb="FF9DC3E6"/>
        <bgColor rgb="FFBFBFBF"/>
      </patternFill>
    </fill>
    <fill>
      <patternFill patternType="solid">
        <fgColor rgb="FFFFFFFF"/>
        <bgColor rgb="FFFFFCF0"/>
      </patternFill>
    </fill>
    <fill>
      <patternFill patternType="solid">
        <fgColor rgb="FFFF5050"/>
        <bgColor rgb="FFFF8080"/>
      </patternFill>
    </fill>
    <fill>
      <patternFill patternType="solid">
        <fgColor rgb="FF92D050"/>
        <bgColor rgb="FFC5E0B4"/>
      </patternFill>
    </fill>
    <fill>
      <patternFill patternType="solid">
        <fgColor rgb="FFFFC000"/>
        <bgColor rgb="FFFF9900"/>
      </patternFill>
    </fill>
    <fill>
      <patternFill patternType="solid">
        <fgColor rgb="FFFFFCF0"/>
        <bgColor rgb="FFFFFFFF"/>
      </patternFill>
    </fill>
    <fill>
      <patternFill patternType="solid">
        <fgColor rgb="FFBDD7EE"/>
        <bgColor rgb="FFDDDDDD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ashDot">
        <color rgb="FFFF0000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dashDot">
        <color rgb="FFFF0000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ashDot">
        <color rgb="FFFF0000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ashDot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ashDot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6">
    <xf numFmtId="0" fontId="0" fillId="0" borderId="0"/>
    <xf numFmtId="165" fontId="39" fillId="0" borderId="0" applyBorder="0" applyProtection="0"/>
    <xf numFmtId="166" fontId="39" fillId="0" borderId="0" applyBorder="0" applyProtection="0"/>
    <xf numFmtId="9" fontId="39" fillId="0" borderId="0" applyBorder="0" applyProtection="0"/>
    <xf numFmtId="0" fontId="21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0" borderId="0" applyBorder="0" applyProtection="0"/>
    <xf numFmtId="0" fontId="1" fillId="6" borderId="0" applyBorder="0" applyProtection="0"/>
    <xf numFmtId="164" fontId="39" fillId="0" borderId="0" applyBorder="0" applyProtection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0" borderId="0" applyBorder="0" applyProtection="0"/>
    <xf numFmtId="0" fontId="11" fillId="8" borderId="0" applyBorder="0" applyProtection="0"/>
    <xf numFmtId="0" fontId="12" fillId="0" borderId="0"/>
    <xf numFmtId="0" fontId="13" fillId="8" borderId="1" applyProtection="0"/>
    <xf numFmtId="0" fontId="14" fillId="0" borderId="0" applyBorder="0" applyProtection="0"/>
    <xf numFmtId="0" fontId="39" fillId="0" borderId="0" applyBorder="0" applyProtection="0"/>
    <xf numFmtId="0" fontId="39" fillId="0" borderId="0" applyBorder="0" applyProtection="0"/>
    <xf numFmtId="0" fontId="3" fillId="0" borderId="0" applyBorder="0" applyProtection="0"/>
  </cellStyleXfs>
  <cellXfs count="184">
    <xf numFmtId="0" fontId="0" fillId="0" borderId="0" xfId="0"/>
    <xf numFmtId="167" fontId="0" fillId="0" borderId="6" xfId="1" applyNumberFormat="1" applyFont="1" applyBorder="1" applyAlignment="1" applyProtection="1">
      <alignment horizontal="left" vertical="center"/>
    </xf>
    <xf numFmtId="0" fontId="19" fillId="0" borderId="3" xfId="0" applyFont="1" applyBorder="1" applyAlignment="1" applyProtection="1">
      <alignment horizontal="center"/>
    </xf>
    <xf numFmtId="0" fontId="19" fillId="0" borderId="2" xfId="0" applyFont="1" applyBorder="1" applyAlignment="1" applyProtection="1">
      <alignment horizontal="center"/>
    </xf>
    <xf numFmtId="166" fontId="0" fillId="0" borderId="2" xfId="0" applyNumberFormat="1" applyBorder="1" applyAlignment="1" applyProtection="1">
      <alignment horizontal="center"/>
    </xf>
    <xf numFmtId="0" fontId="0" fillId="14" borderId="2" xfId="0" applyFont="1" applyFill="1" applyBorder="1" applyAlignment="1" applyProtection="1">
      <alignment horizontal="center" wrapText="1"/>
    </xf>
    <xf numFmtId="167" fontId="0" fillId="0" borderId="6" xfId="1" applyNumberFormat="1" applyFont="1" applyBorder="1" applyAlignment="1" applyProtection="1">
      <alignment horizontal="center" vertical="center" wrapText="1"/>
    </xf>
    <xf numFmtId="166" fontId="0" fillId="0" borderId="2" xfId="0" applyNumberForma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left" wrapText="1"/>
    </xf>
    <xf numFmtId="0" fontId="21" fillId="0" borderId="2" xfId="4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7" fillId="10" borderId="2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left" wrapText="1"/>
      <protection locked="0"/>
    </xf>
    <xf numFmtId="0" fontId="0" fillId="0" borderId="0" xfId="0" applyAlignment="1" applyProtection="1"/>
    <xf numFmtId="10" fontId="0" fillId="0" borderId="0" xfId="3" applyNumberFormat="1" applyFont="1" applyBorder="1" applyAlignment="1" applyProtection="1"/>
    <xf numFmtId="165" fontId="15" fillId="0" borderId="2" xfId="1" applyFont="1" applyBorder="1" applyAlignment="1" applyProtection="1">
      <alignment horizontal="left" vertical="center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/>
    <xf numFmtId="0" fontId="0" fillId="0" borderId="2" xfId="0" applyFont="1" applyBorder="1" applyAlignment="1" applyProtection="1"/>
    <xf numFmtId="166" fontId="0" fillId="9" borderId="0" xfId="2" applyFont="1" applyFill="1" applyBorder="1" applyAlignment="1" applyProtection="1">
      <protection locked="0"/>
    </xf>
    <xf numFmtId="0" fontId="0" fillId="0" borderId="5" xfId="0" applyBorder="1" applyAlignment="1" applyProtection="1"/>
    <xf numFmtId="0" fontId="0" fillId="10" borderId="6" xfId="0" applyFont="1" applyFill="1" applyBorder="1" applyAlignment="1" applyProtection="1">
      <alignment horizontal="center"/>
    </xf>
    <xf numFmtId="0" fontId="0" fillId="10" borderId="2" xfId="0" applyFont="1" applyFill="1" applyBorder="1" applyAlignment="1" applyProtection="1">
      <alignment horizontal="center"/>
    </xf>
    <xf numFmtId="0" fontId="16" fillId="10" borderId="2" xfId="0" applyFont="1" applyFill="1" applyBorder="1" applyAlignment="1" applyProtection="1">
      <alignment horizontal="center"/>
    </xf>
    <xf numFmtId="0" fontId="17" fillId="10" borderId="2" xfId="0" applyFont="1" applyFill="1" applyBorder="1" applyAlignment="1" applyProtection="1">
      <alignment horizontal="center"/>
    </xf>
    <xf numFmtId="0" fontId="0" fillId="0" borderId="7" xfId="0" applyFont="1" applyBorder="1" applyAlignment="1" applyProtection="1"/>
    <xf numFmtId="10" fontId="0" fillId="0" borderId="2" xfId="3" applyNumberFormat="1" applyFont="1" applyBorder="1" applyAlignment="1" applyProtection="1"/>
    <xf numFmtId="167" fontId="0" fillId="0" borderId="6" xfId="1" applyNumberFormat="1" applyFont="1" applyBorder="1" applyAlignment="1" applyProtection="1">
      <alignment horizontal="left" vertical="top" wrapText="1"/>
    </xf>
    <xf numFmtId="0" fontId="18" fillId="9" borderId="6" xfId="0" applyFont="1" applyFill="1" applyBorder="1" applyAlignment="1" applyProtection="1">
      <protection locked="0"/>
    </xf>
    <xf numFmtId="10" fontId="19" fillId="0" borderId="8" xfId="3" applyNumberFormat="1" applyFont="1" applyBorder="1" applyAlignment="1" applyProtection="1"/>
    <xf numFmtId="166" fontId="0" fillId="0" borderId="2" xfId="0" applyNumberFormat="1" applyBorder="1" applyAlignment="1" applyProtection="1"/>
    <xf numFmtId="0" fontId="17" fillId="0" borderId="2" xfId="0" applyFont="1" applyBorder="1" applyAlignment="1" applyProtection="1">
      <alignment horizontal="center"/>
    </xf>
    <xf numFmtId="0" fontId="17" fillId="10" borderId="6" xfId="0" applyFont="1" applyFill="1" applyBorder="1" applyAlignment="1" applyProtection="1">
      <alignment horizontal="center"/>
    </xf>
    <xf numFmtId="0" fontId="0" fillId="0" borderId="0" xfId="0" applyBorder="1" applyAlignment="1" applyProtection="1"/>
    <xf numFmtId="167" fontId="0" fillId="0" borderId="5" xfId="1" applyNumberFormat="1" applyFont="1" applyBorder="1" applyAlignment="1" applyProtection="1">
      <alignment horizontal="left" vertical="top" wrapText="1"/>
    </xf>
    <xf numFmtId="10" fontId="0" fillId="9" borderId="2" xfId="3" applyNumberFormat="1" applyFont="1" applyFill="1" applyBorder="1" applyAlignment="1" applyProtection="1">
      <protection locked="0"/>
    </xf>
    <xf numFmtId="167" fontId="0" fillId="11" borderId="3" xfId="1" applyNumberFormat="1" applyFont="1" applyFill="1" applyBorder="1" applyAlignment="1" applyProtection="1">
      <alignment horizontal="left" vertical="top" wrapText="1"/>
    </xf>
    <xf numFmtId="14" fontId="0" fillId="11" borderId="3" xfId="2" applyNumberFormat="1" applyFont="1" applyFill="1" applyBorder="1" applyAlignment="1" applyProtection="1">
      <protection locked="0"/>
    </xf>
    <xf numFmtId="14" fontId="0" fillId="11" borderId="2" xfId="2" applyNumberFormat="1" applyFont="1" applyFill="1" applyBorder="1" applyAlignment="1" applyProtection="1">
      <protection locked="0"/>
    </xf>
    <xf numFmtId="0" fontId="0" fillId="0" borderId="0" xfId="0" applyAlignment="1" applyProtection="1">
      <protection locked="0"/>
    </xf>
    <xf numFmtId="10" fontId="19" fillId="11" borderId="2" xfId="3" applyNumberFormat="1" applyFont="1" applyFill="1" applyBorder="1" applyAlignment="1" applyProtection="1">
      <alignment horizontal="center"/>
      <protection locked="0"/>
    </xf>
    <xf numFmtId="9" fontId="20" fillId="9" borderId="0" xfId="3" applyFont="1" applyFill="1" applyBorder="1" applyAlignment="1" applyProtection="1">
      <alignment horizontal="center" vertical="center"/>
      <protection locked="0"/>
    </xf>
    <xf numFmtId="9" fontId="0" fillId="0" borderId="9" xfId="3" applyFont="1" applyBorder="1" applyAlignment="1" applyProtection="1"/>
    <xf numFmtId="0" fontId="0" fillId="0" borderId="10" xfId="0" applyBorder="1" applyAlignment="1" applyProtection="1"/>
    <xf numFmtId="167" fontId="0" fillId="12" borderId="3" xfId="1" applyNumberFormat="1" applyFont="1" applyFill="1" applyBorder="1" applyAlignment="1" applyProtection="1">
      <alignment horizontal="left" vertical="top" wrapText="1"/>
    </xf>
    <xf numFmtId="14" fontId="0" fillId="12" borderId="2" xfId="0" applyNumberFormat="1" applyFill="1" applyBorder="1" applyAlignment="1" applyProtection="1">
      <protection locked="0"/>
    </xf>
    <xf numFmtId="14" fontId="0" fillId="12" borderId="11" xfId="0" applyNumberFormat="1" applyFill="1" applyBorder="1" applyAlignment="1" applyProtection="1">
      <protection locked="0"/>
    </xf>
    <xf numFmtId="9" fontId="19" fillId="12" borderId="12" xfId="3" applyFont="1" applyFill="1" applyBorder="1" applyAlignment="1" applyProtection="1">
      <alignment horizontal="center"/>
      <protection locked="0"/>
    </xf>
    <xf numFmtId="10" fontId="19" fillId="12" borderId="5" xfId="3" applyNumberFormat="1" applyFont="1" applyFill="1" applyBorder="1" applyAlignment="1" applyProtection="1">
      <alignment horizontal="center"/>
      <protection locked="0"/>
    </xf>
    <xf numFmtId="0" fontId="17" fillId="0" borderId="6" xfId="0" applyFont="1" applyBorder="1" applyAlignment="1" applyProtection="1">
      <alignment horizontal="center"/>
    </xf>
    <xf numFmtId="9" fontId="0" fillId="0" borderId="0" xfId="0" applyNumberFormat="1" applyAlignment="1" applyProtection="1"/>
    <xf numFmtId="167" fontId="0" fillId="0" borderId="2" xfId="1" applyNumberFormat="1" applyFont="1" applyBorder="1" applyAlignment="1" applyProtection="1">
      <alignment horizontal="left" vertical="top" wrapText="1"/>
    </xf>
    <xf numFmtId="0" fontId="17" fillId="0" borderId="2" xfId="0" applyFont="1" applyBorder="1" applyAlignment="1" applyProtection="1">
      <alignment horizontal="center"/>
    </xf>
    <xf numFmtId="10" fontId="22" fillId="12" borderId="5" xfId="3" applyNumberFormat="1" applyFont="1" applyFill="1" applyBorder="1" applyAlignment="1" applyProtection="1">
      <alignment horizontal="center"/>
      <protection locked="0"/>
    </xf>
    <xf numFmtId="9" fontId="20" fillId="9" borderId="2" xfId="3" applyFont="1" applyFill="1" applyBorder="1" applyAlignment="1" applyProtection="1">
      <alignment horizontal="center" vertical="center"/>
      <protection locked="0"/>
    </xf>
    <xf numFmtId="14" fontId="0" fillId="12" borderId="13" xfId="0" applyNumberFormat="1" applyFill="1" applyBorder="1" applyAlignment="1" applyProtection="1">
      <protection locked="0"/>
    </xf>
    <xf numFmtId="10" fontId="19" fillId="12" borderId="3" xfId="3" applyNumberFormat="1" applyFont="1" applyFill="1" applyBorder="1" applyAlignment="1" applyProtection="1">
      <alignment horizontal="center"/>
      <protection locked="0"/>
    </xf>
    <xf numFmtId="0" fontId="17" fillId="0" borderId="14" xfId="0" applyFont="1" applyBorder="1" applyAlignment="1" applyProtection="1">
      <alignment horizontal="center"/>
    </xf>
    <xf numFmtId="167" fontId="0" fillId="13" borderId="3" xfId="1" applyNumberFormat="1" applyFont="1" applyFill="1" applyBorder="1" applyAlignment="1" applyProtection="1">
      <alignment horizontal="left" vertical="top" wrapText="1"/>
    </xf>
    <xf numFmtId="14" fontId="0" fillId="13" borderId="2" xfId="0" applyNumberFormat="1" applyFill="1" applyBorder="1" applyAlignment="1" applyProtection="1">
      <protection locked="0"/>
    </xf>
    <xf numFmtId="14" fontId="0" fillId="13" borderId="11" xfId="0" applyNumberFormat="1" applyFill="1" applyBorder="1" applyAlignment="1" applyProtection="1">
      <protection locked="0"/>
    </xf>
    <xf numFmtId="10" fontId="19" fillId="13" borderId="2" xfId="3" applyNumberFormat="1" applyFont="1" applyFill="1" applyBorder="1" applyAlignment="1" applyProtection="1">
      <alignment horizontal="center"/>
      <protection locked="0"/>
    </xf>
    <xf numFmtId="9" fontId="20" fillId="9" borderId="15" xfId="3" applyFont="1" applyFill="1" applyBorder="1" applyAlignment="1" applyProtection="1">
      <alignment horizontal="center"/>
      <protection locked="0"/>
    </xf>
    <xf numFmtId="167" fontId="19" fillId="0" borderId="3" xfId="1" applyNumberFormat="1" applyFont="1" applyBorder="1" applyAlignment="1" applyProtection="1">
      <alignment horizontal="left" vertical="top" wrapText="1"/>
    </xf>
    <xf numFmtId="10" fontId="23" fillId="0" borderId="2" xfId="3" applyNumberFormat="1" applyFont="1" applyBorder="1" applyAlignment="1" applyProtection="1">
      <alignment horizontal="center"/>
    </xf>
    <xf numFmtId="167" fontId="0" fillId="0" borderId="16" xfId="1" applyNumberFormat="1" applyFont="1" applyBorder="1" applyAlignment="1" applyProtection="1">
      <alignment horizontal="left" vertical="top"/>
    </xf>
    <xf numFmtId="0" fontId="0" fillId="9" borderId="2" xfId="0" applyFill="1" applyBorder="1" applyAlignment="1" applyProtection="1">
      <protection locked="0"/>
    </xf>
    <xf numFmtId="10" fontId="19" fillId="0" borderId="2" xfId="3" applyNumberFormat="1" applyFont="1" applyBorder="1" applyAlignment="1" applyProtection="1"/>
    <xf numFmtId="10" fontId="19" fillId="9" borderId="2" xfId="3" applyNumberFormat="1" applyFont="1" applyFill="1" applyBorder="1" applyAlignment="1" applyProtection="1"/>
    <xf numFmtId="10" fontId="0" fillId="0" borderId="2" xfId="3" applyNumberFormat="1" applyFont="1" applyBorder="1" applyAlignment="1" applyProtection="1">
      <protection locked="0"/>
    </xf>
    <xf numFmtId="0" fontId="0" fillId="0" borderId="0" xfId="0" applyFont="1" applyBorder="1" applyAlignment="1" applyProtection="1"/>
    <xf numFmtId="10" fontId="0" fillId="9" borderId="2" xfId="3" applyNumberFormat="1" applyFont="1" applyFill="1" applyBorder="1" applyAlignment="1" applyProtection="1"/>
    <xf numFmtId="0" fontId="0" fillId="0" borderId="0" xfId="0" applyAlignment="1" applyProtection="1">
      <alignment horizontal="center"/>
    </xf>
    <xf numFmtId="10" fontId="19" fillId="0" borderId="17" xfId="3" applyNumberFormat="1" applyFont="1" applyBorder="1" applyAlignment="1" applyProtection="1">
      <alignment horizontal="center"/>
    </xf>
    <xf numFmtId="167" fontId="0" fillId="0" borderId="6" xfId="1" applyNumberFormat="1" applyFont="1" applyBorder="1" applyAlignment="1" applyProtection="1">
      <alignment vertical="center"/>
    </xf>
    <xf numFmtId="10" fontId="19" fillId="0" borderId="6" xfId="3" applyNumberFormat="1" applyFont="1" applyBorder="1" applyAlignment="1" applyProtection="1"/>
    <xf numFmtId="166" fontId="0" fillId="0" borderId="18" xfId="0" applyNumberFormat="1" applyBorder="1" applyAlignment="1" applyProtection="1"/>
    <xf numFmtId="0" fontId="17" fillId="10" borderId="3" xfId="0" applyFont="1" applyFill="1" applyBorder="1" applyAlignment="1" applyProtection="1">
      <alignment horizontal="center"/>
    </xf>
    <xf numFmtId="167" fontId="0" fillId="0" borderId="5" xfId="1" applyNumberFormat="1" applyFont="1" applyBorder="1" applyAlignment="1" applyProtection="1">
      <alignment vertical="center"/>
    </xf>
    <xf numFmtId="0" fontId="0" fillId="9" borderId="2" xfId="0" applyFont="1" applyFill="1" applyBorder="1" applyAlignment="1" applyProtection="1">
      <protection locked="0"/>
    </xf>
    <xf numFmtId="167" fontId="0" fillId="0" borderId="5" xfId="1" applyNumberFormat="1" applyFont="1" applyBorder="1" applyAlignment="1" applyProtection="1">
      <alignment horizontal="left" vertical="top"/>
    </xf>
    <xf numFmtId="0" fontId="0" fillId="0" borderId="0" xfId="0" applyBorder="1" applyAlignment="1" applyProtection="1">
      <alignment vertical="center" wrapText="1"/>
    </xf>
    <xf numFmtId="167" fontId="0" fillId="0" borderId="3" xfId="1" applyNumberFormat="1" applyFont="1" applyBorder="1" applyAlignment="1" applyProtection="1">
      <alignment horizontal="left" vertical="top"/>
    </xf>
    <xf numFmtId="0" fontId="0" fillId="9" borderId="5" xfId="0" applyFont="1" applyFill="1" applyBorder="1" applyAlignment="1" applyProtection="1">
      <protection locked="0"/>
    </xf>
    <xf numFmtId="10" fontId="0" fillId="9" borderId="5" xfId="3" applyNumberFormat="1" applyFont="1" applyFill="1" applyBorder="1" applyAlignment="1" applyProtection="1">
      <protection locked="0"/>
    </xf>
    <xf numFmtId="10" fontId="0" fillId="9" borderId="6" xfId="3" applyNumberFormat="1" applyFont="1" applyFill="1" applyBorder="1" applyAlignment="1" applyProtection="1">
      <protection locked="0"/>
    </xf>
    <xf numFmtId="0" fontId="0" fillId="0" borderId="19" xfId="0" applyFont="1" applyBorder="1" applyAlignment="1" applyProtection="1">
      <alignment horizontal="right"/>
    </xf>
    <xf numFmtId="10" fontId="19" fillId="0" borderId="19" xfId="0" applyNumberFormat="1" applyFont="1" applyBorder="1" applyAlignment="1" applyProtection="1"/>
    <xf numFmtId="166" fontId="19" fillId="0" borderId="0" xfId="2" applyFont="1" applyBorder="1" applyAlignment="1" applyProtection="1"/>
    <xf numFmtId="10" fontId="17" fillId="0" borderId="0" xfId="0" applyNumberFormat="1" applyFont="1" applyAlignment="1" applyProtection="1"/>
    <xf numFmtId="166" fontId="0" fillId="0" borderId="0" xfId="0" applyNumberFormat="1" applyAlignment="1" applyProtection="1"/>
    <xf numFmtId="0" fontId="0" fillId="0" borderId="6" xfId="0" applyFont="1" applyBorder="1" applyAlignment="1" applyProtection="1"/>
    <xf numFmtId="0" fontId="0" fillId="0" borderId="2" xfId="0" applyBorder="1" applyAlignment="1" applyProtection="1">
      <alignment horizontal="left"/>
    </xf>
    <xf numFmtId="0" fontId="0" fillId="0" borderId="3" xfId="0" applyFont="1" applyBorder="1" applyAlignment="1" applyProtection="1"/>
    <xf numFmtId="9" fontId="0" fillId="0" borderId="2" xfId="3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left"/>
    </xf>
    <xf numFmtId="9" fontId="0" fillId="0" borderId="8" xfId="3" applyFont="1" applyBorder="1" applyAlignment="1" applyProtection="1">
      <alignment horizontal="center" vertical="center"/>
    </xf>
    <xf numFmtId="9" fontId="27" fillId="0" borderId="14" xfId="3" applyFont="1" applyBorder="1" applyAlignment="1" applyProtection="1">
      <alignment horizontal="center" vertical="center"/>
    </xf>
    <xf numFmtId="9" fontId="0" fillId="0" borderId="20" xfId="3" applyFont="1" applyBorder="1" applyAlignment="1" applyProtection="1">
      <alignment vertical="center"/>
    </xf>
    <xf numFmtId="167" fontId="17" fillId="13" borderId="2" xfId="1" applyNumberFormat="1" applyFont="1" applyFill="1" applyBorder="1" applyAlignment="1" applyProtection="1">
      <alignment horizontal="center" vertical="top" wrapText="1"/>
    </xf>
    <xf numFmtId="9" fontId="0" fillId="0" borderId="14" xfId="3" applyFont="1" applyBorder="1" applyAlignment="1" applyProtection="1">
      <alignment horizontal="center" vertical="center"/>
    </xf>
    <xf numFmtId="9" fontId="28" fillId="0" borderId="20" xfId="3" applyFont="1" applyBorder="1" applyAlignment="1" applyProtection="1">
      <alignment horizontal="center" vertical="center"/>
    </xf>
    <xf numFmtId="166" fontId="0" fillId="0" borderId="0" xfId="0" applyNumberFormat="1" applyBorder="1" applyAlignment="1" applyProtection="1"/>
    <xf numFmtId="0" fontId="19" fillId="10" borderId="2" xfId="0" applyFont="1" applyFill="1" applyBorder="1" applyAlignment="1" applyProtection="1">
      <alignment horizontal="center" vertical="center"/>
    </xf>
    <xf numFmtId="0" fontId="17" fillId="11" borderId="2" xfId="0" applyFont="1" applyFill="1" applyBorder="1" applyAlignment="1" applyProtection="1">
      <alignment horizontal="center" vertical="center"/>
    </xf>
    <xf numFmtId="167" fontId="17" fillId="12" borderId="2" xfId="1" applyNumberFormat="1" applyFont="1" applyFill="1" applyBorder="1" applyAlignment="1" applyProtection="1">
      <alignment horizontal="center" vertical="center" wrapText="1"/>
    </xf>
    <xf numFmtId="167" fontId="17" fillId="13" borderId="7" xfId="1" applyNumberFormat="1" applyFont="1" applyFill="1" applyBorder="1" applyAlignment="1" applyProtection="1">
      <alignment horizontal="center" vertical="center" wrapText="1"/>
    </xf>
    <xf numFmtId="167" fontId="17" fillId="10" borderId="21" xfId="1" applyNumberFormat="1" applyFont="1" applyFill="1" applyBorder="1" applyAlignment="1" applyProtection="1">
      <alignment horizontal="center" vertical="center" wrapText="1"/>
    </xf>
    <xf numFmtId="0" fontId="17" fillId="10" borderId="18" xfId="0" applyFont="1" applyFill="1" applyBorder="1" applyAlignment="1" applyProtection="1">
      <alignment horizontal="center" vertical="center"/>
    </xf>
    <xf numFmtId="0" fontId="17" fillId="10" borderId="2" xfId="0" applyFont="1" applyFill="1" applyBorder="1" applyAlignment="1" applyProtection="1">
      <alignment horizontal="center" vertical="center"/>
    </xf>
    <xf numFmtId="0" fontId="17" fillId="15" borderId="2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left" vertical="top"/>
    </xf>
    <xf numFmtId="166" fontId="0" fillId="0" borderId="2" xfId="0" applyNumberFormat="1" applyBorder="1" applyAlignment="1" applyProtection="1">
      <alignment horizontal="left" vertical="top"/>
    </xf>
    <xf numFmtId="166" fontId="0" fillId="0" borderId="7" xfId="0" applyNumberFormat="1" applyBorder="1" applyAlignment="1" applyProtection="1">
      <alignment horizontal="left" vertical="top"/>
    </xf>
    <xf numFmtId="166" fontId="0" fillId="0" borderId="22" xfId="0" applyNumberFormat="1" applyBorder="1" applyAlignment="1" applyProtection="1">
      <alignment horizontal="left" vertical="top"/>
    </xf>
    <xf numFmtId="166" fontId="0" fillId="0" borderId="18" xfId="2" applyFont="1" applyBorder="1" applyAlignment="1" applyProtection="1">
      <alignment horizontal="left" vertical="top"/>
    </xf>
    <xf numFmtId="166" fontId="0" fillId="0" borderId="2" xfId="2" applyFont="1" applyBorder="1" applyAlignment="1" applyProtection="1">
      <alignment horizontal="left" vertical="top"/>
    </xf>
    <xf numFmtId="166" fontId="0" fillId="0" borderId="23" xfId="0" applyNumberFormat="1" applyBorder="1" applyAlignment="1" applyProtection="1">
      <alignment horizontal="left" vertical="top"/>
    </xf>
    <xf numFmtId="0" fontId="19" fillId="0" borderId="2" xfId="0" applyFont="1" applyBorder="1" applyAlignment="1" applyProtection="1"/>
    <xf numFmtId="166" fontId="19" fillId="0" borderId="2" xfId="0" applyNumberFormat="1" applyFont="1" applyBorder="1" applyAlignment="1" applyProtection="1"/>
    <xf numFmtId="166" fontId="19" fillId="0" borderId="7" xfId="0" applyNumberFormat="1" applyFont="1" applyBorder="1" applyAlignment="1" applyProtection="1"/>
    <xf numFmtId="166" fontId="19" fillId="0" borderId="24" xfId="0" applyNumberFormat="1" applyFont="1" applyBorder="1" applyAlignment="1" applyProtection="1"/>
    <xf numFmtId="0" fontId="29" fillId="0" borderId="0" xfId="0" applyFont="1" applyAlignment="1" applyProtection="1"/>
    <xf numFmtId="0" fontId="29" fillId="0" borderId="0" xfId="0" applyFont="1" applyAlignment="1" applyProtection="1">
      <alignment horizontal="center" vertical="center"/>
    </xf>
    <xf numFmtId="167" fontId="17" fillId="10" borderId="2" xfId="1" applyNumberFormat="1" applyFont="1" applyFill="1" applyBorder="1" applyAlignment="1" applyProtection="1">
      <alignment horizontal="center" vertical="center" wrapText="1"/>
    </xf>
    <xf numFmtId="167" fontId="17" fillId="10" borderId="2" xfId="1" applyNumberFormat="1" applyFont="1" applyFill="1" applyBorder="1" applyAlignment="1" applyProtection="1">
      <alignment horizontal="center" vertical="top" wrapText="1"/>
    </xf>
    <xf numFmtId="166" fontId="0" fillId="0" borderId="2" xfId="2" applyFont="1" applyBorder="1" applyAlignment="1" applyProtection="1"/>
    <xf numFmtId="0" fontId="0" fillId="0" borderId="2" xfId="0" applyFont="1" applyBorder="1" applyAlignment="1" applyProtection="1">
      <alignment horizontal="center"/>
    </xf>
    <xf numFmtId="0" fontId="0" fillId="0" borderId="0" xfId="0" applyAlignment="1" applyProtection="1">
      <alignment wrapText="1"/>
    </xf>
    <xf numFmtId="166" fontId="0" fillId="0" borderId="0" xfId="2" applyFont="1" applyBorder="1" applyAlignment="1" applyProtection="1"/>
    <xf numFmtId="0" fontId="19" fillId="10" borderId="2" xfId="0" applyFont="1" applyFill="1" applyBorder="1" applyAlignment="1" applyProtection="1">
      <alignment horizontal="center"/>
    </xf>
    <xf numFmtId="166" fontId="0" fillId="0" borderId="0" xfId="2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27" fillId="0" borderId="2" xfId="0" applyFont="1" applyBorder="1" applyAlignment="1" applyProtection="1">
      <alignment horizontal="left"/>
    </xf>
    <xf numFmtId="0" fontId="27" fillId="16" borderId="2" xfId="0" applyFont="1" applyFill="1" applyBorder="1" applyAlignment="1" applyProtection="1">
      <alignment horizontal="center"/>
    </xf>
    <xf numFmtId="0" fontId="27" fillId="0" borderId="7" xfId="0" applyFont="1" applyBorder="1" applyAlignment="1" applyProtection="1">
      <alignment horizontal="left"/>
    </xf>
    <xf numFmtId="168" fontId="0" fillId="0" borderId="2" xfId="0" applyNumberFormat="1" applyBorder="1" applyAlignment="1" applyProtection="1"/>
    <xf numFmtId="0" fontId="27" fillId="17" borderId="2" xfId="0" applyFont="1" applyFill="1" applyBorder="1" applyAlignment="1" applyProtection="1">
      <alignment horizontal="center"/>
    </xf>
    <xf numFmtId="9" fontId="0" fillId="0" borderId="2" xfId="3" applyFont="1" applyBorder="1" applyAlignment="1" applyProtection="1"/>
    <xf numFmtId="169" fontId="0" fillId="0" borderId="2" xfId="3" applyNumberFormat="1" applyFont="1" applyBorder="1" applyAlignment="1" applyProtection="1"/>
    <xf numFmtId="9" fontId="0" fillId="0" borderId="0" xfId="3" applyFont="1" applyBorder="1" applyAlignment="1" applyProtection="1"/>
    <xf numFmtId="167" fontId="0" fillId="0" borderId="3" xfId="1" applyNumberFormat="1" applyFont="1" applyBorder="1" applyAlignment="1" applyProtection="1">
      <alignment horizontal="left" vertical="center" wrapText="1"/>
    </xf>
    <xf numFmtId="167" fontId="0" fillId="0" borderId="14" xfId="1" applyNumberFormat="1" applyFont="1" applyBorder="1" applyAlignment="1" applyProtection="1">
      <alignment horizontal="left" vertical="top"/>
    </xf>
    <xf numFmtId="0" fontId="32" fillId="0" borderId="0" xfId="0" applyFont="1" applyAlignment="1" applyProtection="1">
      <alignment horizontal="center" wrapText="1"/>
    </xf>
    <xf numFmtId="167" fontId="0" fillId="0" borderId="20" xfId="1" applyNumberFormat="1" applyFont="1" applyBorder="1" applyAlignment="1" applyProtection="1">
      <alignment horizontal="left" vertical="top"/>
    </xf>
    <xf numFmtId="9" fontId="33" fillId="0" borderId="0" xfId="0" applyNumberFormat="1" applyFont="1" applyAlignment="1" applyProtection="1"/>
    <xf numFmtId="0" fontId="0" fillId="18" borderId="2" xfId="0" applyFill="1" applyBorder="1" applyAlignment="1" applyProtection="1"/>
    <xf numFmtId="2" fontId="0" fillId="0" borderId="0" xfId="0" applyNumberFormat="1" applyAlignment="1" applyProtection="1"/>
    <xf numFmtId="0" fontId="34" fillId="0" borderId="2" xfId="0" applyFont="1" applyBorder="1" applyAlignment="1" applyProtection="1">
      <alignment horizontal="center"/>
    </xf>
    <xf numFmtId="0" fontId="35" fillId="0" borderId="2" xfId="0" applyFont="1" applyBorder="1" applyAlignment="1" applyProtection="1">
      <alignment horizontal="center"/>
    </xf>
    <xf numFmtId="0" fontId="0" fillId="11" borderId="0" xfId="0" applyFill="1" applyAlignment="1" applyProtection="1"/>
    <xf numFmtId="0" fontId="27" fillId="0" borderId="10" xfId="0" applyFont="1" applyBorder="1" applyAlignment="1" applyProtection="1">
      <alignment horizontal="left"/>
    </xf>
    <xf numFmtId="0" fontId="36" fillId="0" borderId="16" xfId="0" applyFont="1" applyBorder="1" applyAlignment="1" applyProtection="1">
      <alignment wrapText="1"/>
    </xf>
    <xf numFmtId="14" fontId="36" fillId="0" borderId="7" xfId="0" applyNumberFormat="1" applyFont="1" applyBorder="1" applyAlignment="1" applyProtection="1"/>
    <xf numFmtId="0" fontId="36" fillId="0" borderId="7" xfId="0" applyFont="1" applyBorder="1" applyAlignment="1" applyProtection="1"/>
    <xf numFmtId="0" fontId="37" fillId="19" borderId="7" xfId="0" applyFont="1" applyFill="1" applyBorder="1" applyAlignment="1" applyProtection="1">
      <alignment horizontal="center" wrapText="1"/>
    </xf>
    <xf numFmtId="0" fontId="37" fillId="11" borderId="7" xfId="0" applyFont="1" applyFill="1" applyBorder="1" applyAlignment="1" applyProtection="1">
      <alignment horizontal="center"/>
    </xf>
    <xf numFmtId="0" fontId="37" fillId="17" borderId="7" xfId="0" applyFont="1" applyFill="1" applyBorder="1" applyAlignment="1" applyProtection="1">
      <alignment horizontal="center"/>
    </xf>
    <xf numFmtId="0" fontId="37" fillId="9" borderId="7" xfId="0" applyFont="1" applyFill="1" applyBorder="1" applyAlignment="1" applyProtection="1">
      <alignment horizontal="center"/>
    </xf>
    <xf numFmtId="0" fontId="37" fillId="16" borderId="7" xfId="0" applyFont="1" applyFill="1" applyBorder="1" applyAlignment="1" applyProtection="1">
      <alignment horizontal="center"/>
    </xf>
    <xf numFmtId="0" fontId="38" fillId="0" borderId="0" xfId="0" applyFont="1" applyAlignment="1" applyProtection="1">
      <alignment vertical="center" wrapText="1"/>
    </xf>
    <xf numFmtId="0" fontId="21" fillId="0" borderId="2" xfId="4" applyFont="1" applyBorder="1" applyAlignment="1" applyProtection="1">
      <alignment wrapText="1"/>
    </xf>
    <xf numFmtId="0" fontId="0" fillId="0" borderId="2" xfId="0" applyFont="1" applyBorder="1" applyAlignment="1" applyProtection="1">
      <alignment horizontal="left" vertical="center" wrapText="1"/>
    </xf>
    <xf numFmtId="166" fontId="0" fillId="0" borderId="2" xfId="2" applyFont="1" applyBorder="1" applyAlignment="1" applyProtection="1">
      <alignment horizontal="center" vertical="top"/>
      <protection locked="0"/>
    </xf>
    <xf numFmtId="166" fontId="0" fillId="9" borderId="2" xfId="2" applyFont="1" applyFill="1" applyBorder="1" applyAlignment="1" applyProtection="1">
      <alignment horizontal="center" vertical="top"/>
      <protection locked="0"/>
    </xf>
    <xf numFmtId="0" fontId="0" fillId="0" borderId="2" xfId="0" applyFont="1" applyBorder="1" applyAlignment="1" applyProtection="1">
      <alignment horizontal="center" vertical="center" wrapText="1"/>
    </xf>
    <xf numFmtId="0" fontId="17" fillId="10" borderId="3" xfId="0" applyFont="1" applyFill="1" applyBorder="1" applyAlignment="1" applyProtection="1">
      <alignment horizontal="center"/>
    </xf>
    <xf numFmtId="0" fontId="17" fillId="14" borderId="2" xfId="0" applyFont="1" applyFill="1" applyBorder="1" applyAlignment="1" applyProtection="1">
      <alignment horizontal="center"/>
      <protection locked="0"/>
    </xf>
    <xf numFmtId="165" fontId="0" fillId="0" borderId="2" xfId="1" applyFont="1" applyBorder="1" applyAlignment="1" applyProtection="1">
      <alignment horizontal="left" vertical="center"/>
    </xf>
    <xf numFmtId="0" fontId="17" fillId="11" borderId="2" xfId="0" applyFont="1" applyFill="1" applyBorder="1" applyAlignment="1" applyProtection="1">
      <alignment horizontal="center"/>
    </xf>
    <xf numFmtId="9" fontId="0" fillId="0" borderId="18" xfId="3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left" vertical="center"/>
    </xf>
    <xf numFmtId="9" fontId="0" fillId="0" borderId="2" xfId="3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left" vertical="center"/>
    </xf>
    <xf numFmtId="167" fontId="17" fillId="12" borderId="2" xfId="1" applyNumberFormat="1" applyFont="1" applyFill="1" applyBorder="1" applyAlignment="1" applyProtection="1">
      <alignment horizontal="center" vertical="top" wrapText="1"/>
    </xf>
    <xf numFmtId="9" fontId="0" fillId="0" borderId="6" xfId="3" applyFont="1" applyBorder="1" applyAlignment="1" applyProtection="1">
      <alignment horizontal="center" vertical="center"/>
    </xf>
    <xf numFmtId="167" fontId="17" fillId="13" borderId="2" xfId="1" applyNumberFormat="1" applyFont="1" applyFill="1" applyBorder="1" applyAlignment="1" applyProtection="1">
      <alignment horizontal="center" vertical="top" wrapText="1"/>
    </xf>
    <xf numFmtId="0" fontId="0" fillId="0" borderId="0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/>
    </xf>
  </cellXfs>
  <cellStyles count="26">
    <cellStyle name="Accent 1 5" xfId="5"/>
    <cellStyle name="Accent 2 6" xfId="6"/>
    <cellStyle name="Accent 3 7" xfId="7"/>
    <cellStyle name="Accent 4" xfId="8"/>
    <cellStyle name="Bad 8" xfId="9"/>
    <cellStyle name="Collegamento ipertestuale" xfId="4" builtinId="8"/>
    <cellStyle name="Default 9" xfId="10"/>
    <cellStyle name="Error 10" xfId="11"/>
    <cellStyle name="Euro" xfId="12"/>
    <cellStyle name="Footnote 11" xfId="13"/>
    <cellStyle name="Good 12" xfId="14"/>
    <cellStyle name="Heading 1 14" xfId="15"/>
    <cellStyle name="Heading 13" xfId="16"/>
    <cellStyle name="Heading 2 15" xfId="17"/>
    <cellStyle name="Hyperlink 16" xfId="18"/>
    <cellStyle name="Migliaia" xfId="1" builtinId="3"/>
    <cellStyle name="Neutral 17" xfId="19"/>
    <cellStyle name="Normale" xfId="0" builtinId="0"/>
    <cellStyle name="Normale 2" xfId="20"/>
    <cellStyle name="Note 18" xfId="21"/>
    <cellStyle name="Percentuale" xfId="3" builtinId="5"/>
    <cellStyle name="Result 19" xfId="22"/>
    <cellStyle name="Status 20" xfId="23"/>
    <cellStyle name="Text 21" xfId="24"/>
    <cellStyle name="Valuta" xfId="2" builtinId="4"/>
    <cellStyle name="Warning 22" xfId="25"/>
  </cellStyles>
  <dxfs count="43">
    <dxf>
      <font>
        <sz val="11"/>
        <color rgb="FF000000"/>
        <name val="Calibri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ED7D3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</dxf>
    <dxf>
      <font>
        <color rgb="FF548235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FFFF"/>
        </patternFill>
      </fill>
    </dxf>
    <dxf>
      <font>
        <b/>
        <i val="0"/>
        <color rgb="FF548235"/>
      </font>
      <fill>
        <patternFill>
          <bgColor rgb="FFFFFFFF"/>
        </patternFill>
      </fill>
    </dxf>
    <dxf>
      <font>
        <color rgb="FF9C0006"/>
      </font>
    </dxf>
    <dxf>
      <font>
        <b/>
        <i val="0"/>
        <color rgb="FF548235"/>
      </font>
      <fill>
        <patternFill>
          <bgColor rgb="FFFFFFFF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 val="0"/>
        <color rgb="FFC00000"/>
      </font>
    </dxf>
    <dxf>
      <font>
        <b/>
        <i val="0"/>
        <color rgb="FF548235"/>
      </font>
    </dxf>
    <dxf>
      <font>
        <b/>
        <i val="0"/>
        <color rgb="FFC00000"/>
      </font>
    </dxf>
    <dxf>
      <font>
        <b/>
        <i val="0"/>
        <color rgb="FF548235"/>
      </font>
    </dxf>
    <dxf>
      <font>
        <b/>
        <i val="0"/>
        <color rgb="FFC00000"/>
      </font>
    </dxf>
    <dxf>
      <font>
        <b/>
        <i val="0"/>
        <color rgb="FF548235"/>
      </font>
    </dxf>
    <dxf>
      <font>
        <b/>
        <i val="0"/>
        <color rgb="FFFF0000"/>
      </font>
    </dxf>
    <dxf>
      <font>
        <b/>
        <i val="0"/>
        <color rgb="FF548235"/>
      </font>
    </dxf>
    <dxf>
      <fill>
        <patternFill>
          <bgColor rgb="FFFFE0E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9C0006"/>
      <rgbColor rgb="FF006600"/>
      <rgbColor rgb="FF000080"/>
      <rgbColor rgb="FF996600"/>
      <rgbColor rgb="FF800080"/>
      <rgbColor rgb="FF00B050"/>
      <rgbColor rgb="FFBFBFBF"/>
      <rgbColor rgb="FF808080"/>
      <rgbColor rgb="FF9999FF"/>
      <rgbColor rgb="FF993366"/>
      <rgbColor rgb="FFFFFFCC"/>
      <rgbColor rgb="FFFFFCF0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C00000"/>
      <rgbColor rgb="FF008080"/>
      <rgbColor rgb="FF0000FF"/>
      <rgbColor rgb="FF00CCFF"/>
      <rgbColor rgb="FFDDDDDD"/>
      <rgbColor rgb="FFCCFFCC"/>
      <rgbColor rgb="FFFFE0E0"/>
      <rgbColor rgb="FF9DC3E6"/>
      <rgbColor rgb="FFF4B183"/>
      <rgbColor rgb="FFFFC7CE"/>
      <rgbColor rgb="FFFFCCCC"/>
      <rgbColor rgb="FF3366FF"/>
      <rgbColor rgb="FF33CCCC"/>
      <rgbColor rgb="FF92D050"/>
      <rgbColor rgb="FFFFC000"/>
      <rgbColor rgb="FFFF9900"/>
      <rgbColor rgb="FFFF5050"/>
      <rgbColor rgb="FF666699"/>
      <rgbColor rgb="FFC5E0B4"/>
      <rgbColor rgb="FF003366"/>
      <rgbColor rgb="FF548235"/>
      <rgbColor rgb="FF003300"/>
      <rgbColor rgb="FF333300"/>
      <rgbColor rgb="FFCC00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1476360</xdr:colOff>
      <xdr:row>26</xdr:row>
      <xdr:rowOff>35640</xdr:rowOff>
    </xdr:from>
    <xdr:to>
      <xdr:col>15</xdr:col>
      <xdr:colOff>498960</xdr:colOff>
      <xdr:row>109</xdr:row>
      <xdr:rowOff>45360</xdr:rowOff>
    </xdr:to>
    <xdr:pic>
      <xdr:nvPicPr>
        <xdr:cNvPr id="2" name="Immagin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6489800" y="4973400"/>
          <a:ext cx="5647320" cy="249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1488240</xdr:colOff>
      <xdr:row>110</xdr:row>
      <xdr:rowOff>23760</xdr:rowOff>
    </xdr:from>
    <xdr:to>
      <xdr:col>15</xdr:col>
      <xdr:colOff>570240</xdr:colOff>
      <xdr:row>119</xdr:row>
      <xdr:rowOff>132840</xdr:rowOff>
    </xdr:to>
    <xdr:pic>
      <xdr:nvPicPr>
        <xdr:cNvPr id="3" name="Immagin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16501680" y="7638120"/>
          <a:ext cx="5706720" cy="18424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C170"/>
  <sheetViews>
    <sheetView tabSelected="1" view="pageBreakPreview" zoomScaleNormal="80" workbookViewId="0">
      <selection activeCell="D5" sqref="D5:E5"/>
    </sheetView>
  </sheetViews>
  <sheetFormatPr defaultColWidth="8.7109375" defaultRowHeight="15"/>
  <cols>
    <col min="1" max="1" width="3.85546875" style="15" customWidth="1"/>
    <col min="2" max="2" width="4.5703125" style="15" customWidth="1"/>
    <col min="3" max="3" width="39.42578125" style="15" customWidth="1"/>
    <col min="4" max="4" width="25.28515625" style="15" customWidth="1"/>
    <col min="5" max="5" width="21.140625" style="15" customWidth="1"/>
    <col min="6" max="6" width="21.42578125" style="15" customWidth="1"/>
    <col min="7" max="7" width="21" style="15" customWidth="1"/>
    <col min="8" max="8" width="20.28515625" style="15" customWidth="1"/>
    <col min="9" max="9" width="16" style="15" customWidth="1"/>
    <col min="10" max="10" width="18.5703125" style="15" customWidth="1"/>
    <col min="11" max="11" width="21.42578125" style="15" customWidth="1"/>
    <col min="12" max="12" width="28.85546875" style="15" customWidth="1"/>
    <col min="13" max="13" width="28.42578125" style="15" customWidth="1"/>
    <col min="14" max="14" width="23.85546875" style="15" customWidth="1"/>
    <col min="15" max="15" width="12.85546875" style="15" customWidth="1"/>
    <col min="16" max="16" width="12.28515625" style="15" customWidth="1"/>
    <col min="17" max="17" width="16.140625" style="15" hidden="1" customWidth="1"/>
    <col min="18" max="18" width="18.85546875" style="15" customWidth="1"/>
    <col min="23" max="23" width="15.7109375" style="15" customWidth="1"/>
    <col min="24" max="24" width="8.42578125" style="15" hidden="1" customWidth="1"/>
    <col min="27" max="27" width="17" style="15" customWidth="1"/>
    <col min="29" max="29" width="11" style="15" customWidth="1"/>
  </cols>
  <sheetData>
    <row r="2" spans="2:25">
      <c r="H2" s="16"/>
    </row>
    <row r="3" spans="2:25" ht="13.9" customHeight="1">
      <c r="C3" s="17" t="s">
        <v>0</v>
      </c>
      <c r="D3" s="14" t="s">
        <v>1</v>
      </c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25">
      <c r="C4" s="17" t="s">
        <v>2</v>
      </c>
      <c r="D4" s="13" t="s">
        <v>3</v>
      </c>
      <c r="E4" s="13"/>
      <c r="H4" s="16"/>
    </row>
    <row r="5" spans="2:25">
      <c r="C5" s="17" t="s">
        <v>4</v>
      </c>
      <c r="D5" s="12" t="s">
        <v>146</v>
      </c>
      <c r="E5" s="12"/>
      <c r="H5" s="16"/>
    </row>
    <row r="6" spans="2:25">
      <c r="D6" s="19"/>
      <c r="H6" s="16"/>
    </row>
    <row r="7" spans="2:25">
      <c r="C7" s="20" t="s">
        <v>5</v>
      </c>
      <c r="D7" s="21">
        <v>73770.490000000005</v>
      </c>
      <c r="E7" s="22"/>
      <c r="F7" s="23" t="s">
        <v>6</v>
      </c>
      <c r="G7" s="23" t="s">
        <v>7</v>
      </c>
      <c r="H7" s="24" t="s">
        <v>8</v>
      </c>
      <c r="I7" s="24" t="s">
        <v>9</v>
      </c>
      <c r="J7" s="25" t="s">
        <v>10</v>
      </c>
      <c r="M7" s="11" t="s">
        <v>11</v>
      </c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2:25">
      <c r="C8" s="27" t="s">
        <v>12</v>
      </c>
      <c r="D8" s="28">
        <f>IF(D7&lt;=221000,0.02,0)+IF(D7&gt;221000,0.018,0)+IF(D7&gt;1000001,0.016-0.018,0)+IF(D7&gt;3000001,0.014-0.016,0)+IF(D7&gt;5000000,0.012-0.014,0)</f>
        <v>0.02</v>
      </c>
      <c r="F8" s="29" t="s">
        <v>13</v>
      </c>
      <c r="G8" s="30" t="s">
        <v>14</v>
      </c>
      <c r="H8" s="31">
        <f>0.3-H9-H10</f>
        <v>0.22999999999999998</v>
      </c>
      <c r="I8" s="32">
        <f>IF($D$18=NOMINATIVI!$E$4,$D$10*H8*0.8,$D$10*H8*0.8*0.7)</f>
        <v>271.47540320000002</v>
      </c>
      <c r="J8" s="33" t="e">
        <f ca="1">_xlfn.IFS(H8&lt;0,NOMINATIVI!$H$29,H8&gt;0.3,NOMINATIVI!$H$29,H8&lt;0.3,NOMINATIVI!$H$28,H8&gt;0,NOMINATIVI!$H$28)</f>
        <v>#NAME?</v>
      </c>
      <c r="M8" s="26" t="s">
        <v>15</v>
      </c>
      <c r="N8" s="26" t="s">
        <v>16</v>
      </c>
      <c r="O8" s="26" t="s">
        <v>17</v>
      </c>
      <c r="P8" s="34" t="s">
        <v>18</v>
      </c>
      <c r="Q8" s="20"/>
      <c r="R8" s="26" t="s">
        <v>19</v>
      </c>
      <c r="S8" s="11" t="s">
        <v>20</v>
      </c>
      <c r="T8" s="11"/>
      <c r="U8" s="11"/>
      <c r="V8" s="11"/>
      <c r="W8" s="26" t="s">
        <v>21</v>
      </c>
    </row>
    <row r="9" spans="2:25">
      <c r="D9" s="35"/>
      <c r="F9" s="36" t="str">
        <f>IF(H9=0,NOMINATIVI!I7,NOMINATIVI!H7)</f>
        <v>_RP AFFIDAMENTO (*)</v>
      </c>
      <c r="G9" s="30" t="s">
        <v>14</v>
      </c>
      <c r="H9" s="37">
        <v>0.02</v>
      </c>
      <c r="I9" s="32">
        <f>IF($D$18=NOMINATIVI!$E$4,$D$10*H9*0.8,$D$10*H9*0.8*0.7)</f>
        <v>23.606556800000003</v>
      </c>
      <c r="J9" s="33" t="str">
        <f>IF(H9&gt;30/100,NOMINATIVI!$H$29,NOMINATIVI!$H$28)</f>
        <v>√</v>
      </c>
      <c r="M9" s="38" t="s">
        <v>22</v>
      </c>
      <c r="N9" s="39">
        <v>46174</v>
      </c>
      <c r="O9" s="40">
        <v>46188</v>
      </c>
      <c r="P9" s="40">
        <v>46190</v>
      </c>
      <c r="Q9" s="41"/>
      <c r="R9" s="42">
        <f>+(P9-N9)/(O9-N9)-1</f>
        <v>0.14285714285714279</v>
      </c>
      <c r="S9" s="10"/>
      <c r="T9" s="10"/>
      <c r="U9" s="10"/>
      <c r="V9" s="10"/>
      <c r="W9" s="43"/>
      <c r="X9" s="44">
        <v>0.1</v>
      </c>
      <c r="Y9" s="45"/>
    </row>
    <row r="10" spans="2:25">
      <c r="C10" s="20" t="s">
        <v>23</v>
      </c>
      <c r="D10" s="32">
        <f>IF(D7&lt;50000,0,D7*D8)</f>
        <v>1475.4098000000001</v>
      </c>
      <c r="F10" s="36" t="str">
        <f>IF(H10=0,NOMINATIVI!I8,NOMINATIVI!H8)</f>
        <v>_RP ESECUZIONE (*)</v>
      </c>
      <c r="G10" s="30" t="s">
        <v>24</v>
      </c>
      <c r="H10" s="37">
        <v>0.05</v>
      </c>
      <c r="I10" s="32">
        <f>IF($D$18=NOMINATIVI!$E$4,$D$10*H10*0.8,$D$10*H10*0.8*0.7)</f>
        <v>59.01639200000001</v>
      </c>
      <c r="J10" s="33" t="str">
        <f>IF(H10&gt;30/100,NOMINATIVI!$H$29,NOMINATIVI!$H$28)</f>
        <v>√</v>
      </c>
      <c r="M10" s="46" t="s">
        <v>25</v>
      </c>
      <c r="N10" s="47">
        <v>46191</v>
      </c>
      <c r="O10" s="47">
        <v>46219</v>
      </c>
      <c r="P10" s="48">
        <v>46223</v>
      </c>
      <c r="Q10" s="49">
        <f>+(P10-N10)/(O10-N10)-1</f>
        <v>0.14285714285714279</v>
      </c>
      <c r="R10" s="50"/>
      <c r="S10" s="9"/>
      <c r="T10" s="9"/>
      <c r="U10" s="9"/>
      <c r="V10" s="9"/>
      <c r="W10" s="51" t="s">
        <v>26</v>
      </c>
      <c r="X10" s="52">
        <v>0.3</v>
      </c>
      <c r="Y10" s="45"/>
    </row>
    <row r="11" spans="2:25" ht="15" customHeight="1">
      <c r="C11" s="8" t="s">
        <v>27</v>
      </c>
      <c r="D11" s="7">
        <f>D10-I28</f>
        <v>308.06556623999995</v>
      </c>
      <c r="F11" s="53" t="s">
        <v>28</v>
      </c>
      <c r="G11" s="30" t="s">
        <v>14</v>
      </c>
      <c r="H11" s="31">
        <f>0.05</f>
        <v>0.05</v>
      </c>
      <c r="I11" s="32">
        <f>IF($D$18=NOMINATIVI!$E$4,$D$10*H11*0.8,$D$10*H11*0.8*0.5)</f>
        <v>59.01639200000001</v>
      </c>
      <c r="J11" s="54" t="s">
        <v>29</v>
      </c>
      <c r="M11" s="46" t="s">
        <v>30</v>
      </c>
      <c r="N11" s="47">
        <v>46224</v>
      </c>
      <c r="O11" s="47">
        <v>46234</v>
      </c>
      <c r="P11" s="48">
        <v>46237</v>
      </c>
      <c r="Q11" s="49">
        <f>+(P11-N11)/(O11-N11)-1</f>
        <v>0.30000000000000004</v>
      </c>
      <c r="R11" s="55">
        <f>SUM(Q10,Q11,Q12,)</f>
        <v>0.7761904761904761</v>
      </c>
      <c r="S11" s="9"/>
      <c r="T11" s="9"/>
      <c r="U11" s="9"/>
      <c r="V11" s="9"/>
      <c r="W11" s="56"/>
      <c r="X11" s="52">
        <v>0.5</v>
      </c>
      <c r="Y11" s="45"/>
    </row>
    <row r="12" spans="2:25" ht="15" customHeight="1">
      <c r="B12" s="15" t="s">
        <v>31</v>
      </c>
      <c r="C12" s="8"/>
      <c r="D12" s="7"/>
      <c r="F12" s="6" t="s">
        <v>32</v>
      </c>
      <c r="G12" s="30" t="s">
        <v>14</v>
      </c>
      <c r="H12" s="31">
        <f>IF(G12=NOMINATIVI!B37,0,0.1-H13-H14)</f>
        <v>0.1</v>
      </c>
      <c r="I12" s="32">
        <f>IF($D$18=NOMINATIVI!$E$4,$D$10*H12*0.8,$D$10*H12*0.8*0.8)</f>
        <v>118.03278400000002</v>
      </c>
      <c r="J12" s="33" t="e">
        <f ca="1">_xlfn.IFS(H12&lt;0,NOMINATIVI!$H$29,H12&gt;0.1,NOMINATIVI!$H$29,H12&lt;0.1,NOMINATIVI!$H$28,H12&gt;0,NOMINATIVI!$H$28)</f>
        <v>#NAME?</v>
      </c>
      <c r="M12" s="46" t="s">
        <v>33</v>
      </c>
      <c r="N12" s="47">
        <v>46244</v>
      </c>
      <c r="O12" s="47">
        <v>46250</v>
      </c>
      <c r="P12" s="57">
        <v>46252</v>
      </c>
      <c r="Q12" s="49">
        <f>+(P12-N12)/(O12-N12)-1</f>
        <v>0.33333333333333326</v>
      </c>
      <c r="R12" s="58"/>
      <c r="S12" s="9"/>
      <c r="T12" s="9"/>
      <c r="U12" s="9"/>
      <c r="V12" s="9"/>
      <c r="W12" s="59" t="s">
        <v>26</v>
      </c>
      <c r="Y12" s="45"/>
    </row>
    <row r="13" spans="2:25">
      <c r="B13" s="15" t="s">
        <v>31</v>
      </c>
      <c r="C13" s="20" t="s">
        <v>34</v>
      </c>
      <c r="D13" s="32">
        <f>I28</f>
        <v>1167.3442337600002</v>
      </c>
      <c r="F13" s="6"/>
      <c r="G13" s="30" t="s">
        <v>35</v>
      </c>
      <c r="H13" s="37">
        <v>0</v>
      </c>
      <c r="I13" s="32">
        <f>IF($D$18=NOMINATIVI!$E$4,$D$10*H13*0.8,$D$10*H13*0.8*0.8)</f>
        <v>0</v>
      </c>
      <c r="J13" s="33" t="str">
        <f>IF(H13&gt;10/100,NOMINATIVI!$H$29,NOMINATIVI!$H$28)</f>
        <v>√</v>
      </c>
      <c r="M13" s="60" t="s">
        <v>36</v>
      </c>
      <c r="N13" s="61">
        <v>46266</v>
      </c>
      <c r="O13" s="61">
        <v>47118</v>
      </c>
      <c r="P13" s="62">
        <v>46266</v>
      </c>
      <c r="Q13" s="41"/>
      <c r="R13" s="63">
        <f>+(P13-N13)/(O13-N13)-1</f>
        <v>-1</v>
      </c>
      <c r="S13" s="9"/>
      <c r="T13" s="9"/>
      <c r="U13" s="9"/>
      <c r="V13" s="9"/>
      <c r="W13" s="64"/>
      <c r="Y13" s="45"/>
    </row>
    <row r="14" spans="2:25" ht="15" customHeight="1">
      <c r="C14" s="5" t="s">
        <v>37</v>
      </c>
      <c r="D14" s="4" t="e">
        <f ca="1">+K119</f>
        <v>#NAME?</v>
      </c>
      <c r="F14" s="6"/>
      <c r="G14" s="30" t="s">
        <v>35</v>
      </c>
      <c r="H14" s="37">
        <v>0</v>
      </c>
      <c r="I14" s="32">
        <f>IF($D$18=NOMINATIVI!$E$4,$D$10*H14*0.8,$D$10*H14*0.8*0.8)</f>
        <v>0</v>
      </c>
      <c r="J14" s="33" t="str">
        <f>IF(H14&gt;10/100,NOMINATIVI!$H$29,NOMINATIVI!$H$28)</f>
        <v>√</v>
      </c>
      <c r="M14" s="65" t="s">
        <v>38</v>
      </c>
      <c r="N14" s="3">
        <f>-(N9-O9)+-(N10-O10)+-(N11-O11)+-(N12-O12)+-(N13-O13)</f>
        <v>910</v>
      </c>
      <c r="O14" s="3"/>
      <c r="P14" s="2">
        <f>-(N9-P9)+-(N10-P10)+-(N11-P11)+-(N12-P12)+-(N13-P13)</f>
        <v>69</v>
      </c>
      <c r="Q14" s="2"/>
      <c r="R14" s="66">
        <f>P14/N14</f>
        <v>7.5824175824175818E-2</v>
      </c>
      <c r="S14" s="10"/>
      <c r="T14" s="10"/>
      <c r="U14" s="10"/>
      <c r="V14" s="10"/>
      <c r="W14" s="20"/>
      <c r="Y14" s="45"/>
    </row>
    <row r="15" spans="2:25">
      <c r="C15" s="5"/>
      <c r="D15" s="4"/>
      <c r="F15" s="67" t="s">
        <v>39</v>
      </c>
      <c r="G15" s="68" t="str">
        <f>G8</f>
        <v>LEONE Luca</v>
      </c>
      <c r="H15" s="69">
        <f>IF(G15=G8,0.05*0.9,0.05)</f>
        <v>4.5000000000000005E-2</v>
      </c>
      <c r="I15" s="32">
        <f>IF($D$18=NOMINATIVI!$E$4,$D$10*H15*0.8,$D$10*H15*0.8*0)</f>
        <v>53.114752800000012</v>
      </c>
      <c r="J15" s="54" t="s">
        <v>29</v>
      </c>
      <c r="S15" s="35"/>
      <c r="T15" s="35"/>
      <c r="U15" s="35"/>
      <c r="W15" s="35"/>
    </row>
    <row r="16" spans="2:25">
      <c r="C16" s="5"/>
      <c r="D16" s="4"/>
      <c r="F16" s="1" t="s">
        <v>40</v>
      </c>
      <c r="G16" s="30" t="s">
        <v>14</v>
      </c>
      <c r="H16" s="70">
        <f>IF(G16=G8,(0.15)*0.9*0.4,0.15)</f>
        <v>5.4000000000000006E-2</v>
      </c>
      <c r="I16" s="32">
        <f>IF($D$18=NOMINATIVI!$E$4,$D$10*H16*0.8,$D$10*H16*0.8*0)</f>
        <v>63.737703360000012</v>
      </c>
      <c r="J16" s="54" t="s">
        <v>29</v>
      </c>
    </row>
    <row r="17" spans="3:29">
      <c r="F17" s="1"/>
      <c r="G17" s="30" t="s">
        <v>14</v>
      </c>
      <c r="H17" s="71">
        <f>IF(G16=G8,0.045-H18,0)</f>
        <v>4.4999999999999998E-2</v>
      </c>
      <c r="I17" s="32">
        <f>IF($D$18=NOMINATIVI!$E$4,$D$10*H17*0.8,$D$10*H17*0.8*0)</f>
        <v>53.114752800000012</v>
      </c>
      <c r="J17" s="54" t="s">
        <v>29</v>
      </c>
    </row>
    <row r="18" spans="3:29">
      <c r="C18" s="72" t="s">
        <v>41</v>
      </c>
      <c r="D18" s="18" t="s">
        <v>42</v>
      </c>
      <c r="F18" s="1"/>
      <c r="G18" s="30" t="s">
        <v>35</v>
      </c>
      <c r="H18" s="73">
        <v>0</v>
      </c>
      <c r="I18" s="32">
        <f>IF($D$18=NOMINATIVI!$E$4,$D$10*H18*0.8,$D$10*H18*0.8*0)</f>
        <v>0</v>
      </c>
      <c r="J18" s="33" t="str">
        <f>IF(H18&gt;4.5/100,NOMINATIVI!$H$29,NOMINATIVI!$H$28)</f>
        <v>√</v>
      </c>
      <c r="M18" s="11" t="s">
        <v>43</v>
      </c>
      <c r="N18" s="11"/>
      <c r="O18" s="11"/>
      <c r="P18" s="11"/>
      <c r="Q18" s="11"/>
      <c r="R18" s="11"/>
    </row>
    <row r="19" spans="3:29" ht="15" customHeight="1">
      <c r="F19" s="1"/>
      <c r="G19" s="30" t="s">
        <v>24</v>
      </c>
      <c r="H19" s="71">
        <f>IF(G16=G8,0.045-H20,0)</f>
        <v>4.4999999999999998E-2</v>
      </c>
      <c r="I19" s="32">
        <f>IF($D$18=NOMINATIVI!$E$4,$D$10*H19*0.8,$D$10*H19*0.8*0)</f>
        <v>53.114752800000012</v>
      </c>
      <c r="J19" s="54" t="s">
        <v>29</v>
      </c>
      <c r="M19" s="11" t="s">
        <v>44</v>
      </c>
      <c r="N19" s="11"/>
      <c r="O19" s="11" t="s">
        <v>45</v>
      </c>
      <c r="P19" s="11"/>
      <c r="Q19" s="74"/>
      <c r="R19" s="26" t="s">
        <v>46</v>
      </c>
      <c r="T19" s="164" t="s">
        <v>47</v>
      </c>
      <c r="U19" s="164"/>
      <c r="V19" s="164"/>
      <c r="W19" s="164"/>
    </row>
    <row r="20" spans="3:29">
      <c r="F20" s="1"/>
      <c r="G20" s="30" t="s">
        <v>35</v>
      </c>
      <c r="H20" s="73">
        <v>0</v>
      </c>
      <c r="I20" s="32">
        <f>IF($D$18=NOMINATIVI!$E$4,$D$10*H20*0.8,$D$10*H20*0.8*0)</f>
        <v>0</v>
      </c>
      <c r="J20" s="33" t="str">
        <f>IF(H20&gt;4.5/100,NOMINATIVI!$H$29,NOMINATIVI!$H$28)</f>
        <v>√</v>
      </c>
      <c r="M20" s="165">
        <f>D7</f>
        <v>73770.490000000005</v>
      </c>
      <c r="N20" s="165"/>
      <c r="O20" s="166">
        <v>73770.490000000005</v>
      </c>
      <c r="P20" s="166"/>
      <c r="Q20" s="74"/>
      <c r="R20" s="75">
        <f>(O20/M20)-1</f>
        <v>0</v>
      </c>
      <c r="T20" s="164"/>
      <c r="U20" s="164"/>
      <c r="V20" s="164"/>
      <c r="W20" s="164"/>
    </row>
    <row r="21" spans="3:29" ht="15" customHeight="1">
      <c r="C21" s="167" t="s">
        <v>48</v>
      </c>
      <c r="D21" s="167"/>
      <c r="E21" s="167"/>
      <c r="F21" s="76" t="s">
        <v>49</v>
      </c>
      <c r="G21" s="30" t="s">
        <v>50</v>
      </c>
      <c r="H21" s="77">
        <f>IF(G21=NOMINATIVI!B37,0,IF(G21=G8,(0.25-H23-H24-H22)*0.9,0.25-H23-H24-H22))</f>
        <v>0.25</v>
      </c>
      <c r="I21" s="78">
        <f>$D$10*H21*0.8</f>
        <v>295.08196000000004</v>
      </c>
      <c r="J21" s="33" t="e">
        <f ca="1">_xlfn.IFS(H21&lt;0,NOMINATIVI!$H$29,H21&gt;0.25,NOMINATIVI!$H$29,H21&lt;0.25,NOMINATIVI!$H$28,H21&gt;0,NOMINATIVI!$H$28)</f>
        <v>#NAME?</v>
      </c>
      <c r="M21" s="168" t="s">
        <v>51</v>
      </c>
      <c r="N21" s="168"/>
      <c r="O21" s="168"/>
      <c r="P21" s="168"/>
      <c r="Q21" s="168"/>
      <c r="R21" s="168"/>
      <c r="T21" s="164"/>
      <c r="U21" s="164"/>
      <c r="V21" s="164"/>
      <c r="W21" s="164"/>
    </row>
    <row r="22" spans="3:29">
      <c r="F22" s="80"/>
      <c r="G22" s="81" t="s">
        <v>35</v>
      </c>
      <c r="H22" s="37">
        <v>0</v>
      </c>
      <c r="I22" s="78">
        <f>IF(G22=NOMINATIVI!B36,($D$10*H22*0.8*0),($D$10*H22*0.8))</f>
        <v>0</v>
      </c>
      <c r="J22" s="33" t="str">
        <f>IF(H22&gt;25/100,NOMINATIVI!$H$29,NOMINATIVI!$H$28)</f>
        <v>√</v>
      </c>
      <c r="M22" s="169"/>
      <c r="N22" s="169"/>
      <c r="O22" s="169"/>
      <c r="P22" s="169"/>
      <c r="Q22" s="169"/>
      <c r="R22" s="169"/>
      <c r="T22" s="164"/>
      <c r="U22" s="164"/>
      <c r="V22" s="164"/>
      <c r="W22" s="164"/>
    </row>
    <row r="23" spans="3:29" ht="15" customHeight="1">
      <c r="C23" s="167" t="s">
        <v>52</v>
      </c>
      <c r="D23" s="167"/>
      <c r="E23" s="167"/>
      <c r="F23" s="82"/>
      <c r="G23" s="81" t="s">
        <v>35</v>
      </c>
      <c r="H23" s="37">
        <v>0</v>
      </c>
      <c r="I23" s="78">
        <f>IF(G23=NOMINATIVI!B37,($D$10*H23*0.8*0),($D$10*H23*0.8))</f>
        <v>0</v>
      </c>
      <c r="J23" s="33" t="str">
        <f>IF(H23&gt;25/100,NOMINATIVI!$H$29,NOMINATIVI!$H$28)</f>
        <v>√</v>
      </c>
      <c r="M23" s="169"/>
      <c r="N23" s="169"/>
      <c r="O23" s="169"/>
      <c r="P23" s="169"/>
      <c r="Q23" s="169"/>
      <c r="R23" s="169"/>
      <c r="T23" s="164"/>
      <c r="U23" s="164"/>
      <c r="V23" s="164"/>
      <c r="W23" s="164"/>
    </row>
    <row r="24" spans="3:29">
      <c r="C24" s="83"/>
      <c r="D24" s="83"/>
      <c r="E24" s="83"/>
      <c r="F24" s="84" t="str">
        <f>IF(H24=0,NOMINATIVI!I11,NOMINATIVI!H11)</f>
        <v>n/a</v>
      </c>
      <c r="G24" s="85" t="s">
        <v>35</v>
      </c>
      <c r="H24" s="86">
        <v>0</v>
      </c>
      <c r="I24" s="78">
        <f>IF(G24=NOMINATIVI!B37,($D$10*H24*0.8*0),($D$10*H24*0.8))</f>
        <v>0</v>
      </c>
      <c r="J24" s="33" t="str">
        <f>IF(H24&gt;25/100,NOMINATIVI!$H$29,NOMINATIVI!$H$28)</f>
        <v>√</v>
      </c>
      <c r="M24" s="169"/>
      <c r="N24" s="169"/>
      <c r="O24" s="169"/>
      <c r="P24" s="169"/>
      <c r="Q24" s="169"/>
      <c r="R24" s="169"/>
      <c r="T24" s="164"/>
      <c r="U24" s="164"/>
      <c r="V24" s="164"/>
      <c r="W24" s="164"/>
    </row>
    <row r="25" spans="3:29" ht="15" customHeight="1">
      <c r="C25" s="167" t="s">
        <v>53</v>
      </c>
      <c r="D25" s="167"/>
      <c r="E25" s="167"/>
      <c r="F25" s="170" t="s">
        <v>54</v>
      </c>
      <c r="G25" s="30" t="s">
        <v>24</v>
      </c>
      <c r="H25" s="77">
        <f>0.1-H26-H27</f>
        <v>0.1</v>
      </c>
      <c r="I25" s="78">
        <f>IF($D$18=NOMINATIVI!$E$4,$D$10*H25*0.8,$D$10*H25*0.8*0.5)</f>
        <v>118.03278400000002</v>
      </c>
      <c r="J25" s="33" t="e">
        <f ca="1">_xlfn.IFS(H25&lt;0,NOMINATIVI!$H$29,H25&gt;0.1,NOMINATIVI!$H$29,H25&lt;0.1,NOMINATIVI!$H$28,H25&gt;0,NOMINATIVI!$H$28)</f>
        <v>#NAME?</v>
      </c>
      <c r="M25" s="169"/>
      <c r="N25" s="169"/>
      <c r="O25" s="169"/>
      <c r="P25" s="169"/>
      <c r="Q25" s="169"/>
      <c r="R25" s="169"/>
      <c r="T25" s="164"/>
      <c r="U25" s="164"/>
      <c r="V25" s="164"/>
      <c r="W25" s="164"/>
    </row>
    <row r="26" spans="3:29">
      <c r="C26" s="167"/>
      <c r="D26" s="167"/>
      <c r="E26" s="167"/>
      <c r="F26" s="170"/>
      <c r="G26" s="30" t="s">
        <v>35</v>
      </c>
      <c r="H26" s="87">
        <v>0</v>
      </c>
      <c r="I26" s="78">
        <f>IF($D$18=NOMINATIVI!$E$4,$D$10*H26*0.8,$D$10*H26*0.8*0.5)</f>
        <v>0</v>
      </c>
      <c r="J26" s="33" t="str">
        <f>IF(H26&gt;10/100,NOMINATIVI!$H$29,NOMINATIVI!$H$28)</f>
        <v>√</v>
      </c>
      <c r="M26" s="169"/>
      <c r="N26" s="169"/>
      <c r="O26" s="169"/>
      <c r="P26" s="169"/>
      <c r="Q26" s="169"/>
      <c r="R26" s="169"/>
      <c r="T26" s="164"/>
      <c r="U26" s="164"/>
      <c r="V26" s="164"/>
      <c r="W26" s="164"/>
    </row>
    <row r="27" spans="3:29">
      <c r="C27" s="167"/>
      <c r="D27" s="167"/>
      <c r="E27" s="167"/>
      <c r="F27" s="170"/>
      <c r="G27" s="30" t="s">
        <v>35</v>
      </c>
      <c r="H27" s="87">
        <v>0</v>
      </c>
      <c r="I27" s="78">
        <f>IF($D$18=NOMINATIVI!$E$4,$D$10*H27*0.8,$D$10*H27*0.8*0.5)</f>
        <v>0</v>
      </c>
      <c r="J27" s="33" t="str">
        <f>IF(H27&gt;10/100,NOMINATIVI!$H$29,NOMINATIVI!$H$28)</f>
        <v>√</v>
      </c>
    </row>
    <row r="28" spans="3:29">
      <c r="G28" s="88" t="s">
        <v>55</v>
      </c>
      <c r="H28" s="89">
        <f>SUM(H8:H27)</f>
        <v>0.98899999999999999</v>
      </c>
      <c r="I28" s="90">
        <f>SUM(I8:I27)</f>
        <v>1167.3442337600002</v>
      </c>
      <c r="J28" s="91"/>
      <c r="K28" s="91"/>
      <c r="L28" s="91"/>
    </row>
    <row r="30" spans="3:29" hidden="1"/>
    <row r="31" spans="3:29" hidden="1">
      <c r="C31" s="171" t="s">
        <v>56</v>
      </c>
      <c r="D31" s="171"/>
      <c r="E31" s="171"/>
      <c r="F31" s="171"/>
      <c r="G31" s="171"/>
      <c r="H31" s="171"/>
      <c r="I31" s="171"/>
      <c r="J31" s="171"/>
      <c r="X31" s="92"/>
    </row>
    <row r="32" spans="3:29" hidden="1">
      <c r="C32" s="26" t="s">
        <v>6</v>
      </c>
      <c r="D32" s="26" t="s">
        <v>57</v>
      </c>
      <c r="E32" s="26" t="s">
        <v>58</v>
      </c>
      <c r="F32" s="26" t="s">
        <v>9</v>
      </c>
      <c r="G32" s="26" t="s">
        <v>59</v>
      </c>
      <c r="H32" s="26" t="s">
        <v>60</v>
      </c>
      <c r="I32" s="26" t="s">
        <v>61</v>
      </c>
      <c r="J32" s="26" t="s">
        <v>62</v>
      </c>
      <c r="M32" s="15" t="str">
        <f>G8</f>
        <v>LEONE Luca</v>
      </c>
      <c r="X32" s="92"/>
      <c r="AC32" s="92"/>
    </row>
    <row r="33" spans="3:24" hidden="1">
      <c r="C33" s="93" t="s">
        <v>13</v>
      </c>
      <c r="D33" s="94" t="str">
        <f t="shared" ref="D33:D42" si="0">G8</f>
        <v>LEONE Luca</v>
      </c>
      <c r="E33" s="172">
        <v>0.5</v>
      </c>
      <c r="F33" s="32" t="e">
        <f ca="1">_xlfn.IFS($W$9=$X$9,E33*I8*0.9,$W$9=$X$10,E33*I8*0.7,$W$9=$X$11,E33*I8*0.5,$W$9=$X$12,E33*I8)</f>
        <v>#NAME?</v>
      </c>
      <c r="G33" s="32" t="e">
        <f ca="1">TRUNC(IF(COUNTIF(NOMINATIVI!$S$5:$S$28,D33)&gt;0,F33*23.8/NOMINATIVI!$H$36,F33*23.8/NOMINATIVI!$H$35),4)</f>
        <v>#NAME?</v>
      </c>
      <c r="H33" s="32" t="e">
        <f t="shared" ref="H33:H52" ca="1" si="1">TRUNC(J33*8.5/100,3)</f>
        <v>#NAME?</v>
      </c>
      <c r="I33" s="32" t="e">
        <f ca="1">TRUNC(IF(COUNTIF(NOMINATIVI!$S$5:$S$28,D33)&gt;0,F33*NOMINATIVI!$K$36/NOMINATIVI!$H$36,F33*NOMINATIVI!$K$35/NOMINATIVI!$H$35),2)</f>
        <v>#NAME?</v>
      </c>
      <c r="J33" s="32" t="e">
        <f t="shared" ref="J33:J52" ca="1" si="2">F33-G33-I33</f>
        <v>#NAME?</v>
      </c>
      <c r="M33" s="15" t="s">
        <v>63</v>
      </c>
      <c r="X33" s="92"/>
    </row>
    <row r="34" spans="3:24" hidden="1">
      <c r="C34" s="22" t="s">
        <v>64</v>
      </c>
      <c r="D34" s="94" t="str">
        <f t="shared" si="0"/>
        <v>LEONE Luca</v>
      </c>
      <c r="E34" s="172"/>
      <c r="F34" s="32" t="e">
        <f ca="1">_xlfn.IFS($W$9=$X$9,E34*I9*0.9,$W$9=$X$10,E34*I9*0.7,$W$9=$X$11,E34*I9*0.5,$W$9=$X$12,E34*I9)</f>
        <v>#NAME?</v>
      </c>
      <c r="G34" s="32" t="e">
        <f ca="1">TRUNC(IF(COUNTIF(NOMINATIVI!$S$5:$S$28,D34)&gt;0,F34*23.8/NOMINATIVI!$H$36,F34*23.8/NOMINATIVI!$H$35),4)</f>
        <v>#NAME?</v>
      </c>
      <c r="H34" s="32" t="e">
        <f t="shared" ca="1" si="1"/>
        <v>#NAME?</v>
      </c>
      <c r="I34" s="32" t="e">
        <f ca="1">TRUNC(IF(COUNTIF(NOMINATIVI!$S$5:$S$28,D34)&gt;0,F34*NOMINATIVI!$K$36/NOMINATIVI!$H$36,F34*NOMINATIVI!$K$35/NOMINATIVI!$H$35),2)</f>
        <v>#NAME?</v>
      </c>
      <c r="J34" s="32" t="e">
        <f t="shared" ca="1" si="2"/>
        <v>#NAME?</v>
      </c>
      <c r="X34" s="92"/>
    </row>
    <row r="35" spans="3:24" hidden="1">
      <c r="C35" s="95" t="s">
        <v>65</v>
      </c>
      <c r="D35" s="94" t="str">
        <f t="shared" si="0"/>
        <v>TROIANI Claudia</v>
      </c>
      <c r="E35" s="172"/>
      <c r="F35" s="32" t="e">
        <f ca="1">_xlfn.IFS($W$9=$X$9,E35*I10*0.9,$W$9=$X$10,E35*I10*0.7,$W$9=$X$11,E35*I10*0.5,$W$9=$X$12,E35*I10)</f>
        <v>#NAME?</v>
      </c>
      <c r="G35" s="32" t="e">
        <f ca="1">TRUNC(IF(COUNTIF(NOMINATIVI!$S$5:$S$28,D35)&gt;0,F35*23.8/NOMINATIVI!$H$36,F35*23.8/NOMINATIVI!$H$35),4)</f>
        <v>#NAME?</v>
      </c>
      <c r="H35" s="32" t="e">
        <f t="shared" ca="1" si="1"/>
        <v>#NAME?</v>
      </c>
      <c r="I35" s="32" t="e">
        <f ca="1">TRUNC(IF(COUNTIF(NOMINATIVI!$S$5:$S$28,D35)&gt;0,F35*NOMINATIVI!$K$36/NOMINATIVI!$H$36,F35*NOMINATIVI!$K$35/NOMINATIVI!$H$35),2)</f>
        <v>#NAME?</v>
      </c>
      <c r="J35" s="32" t="e">
        <f t="shared" ca="1" si="2"/>
        <v>#NAME?</v>
      </c>
      <c r="X35" s="92"/>
    </row>
    <row r="36" spans="3:24" hidden="1">
      <c r="C36" s="20" t="s">
        <v>28</v>
      </c>
      <c r="D36" s="94" t="str">
        <f t="shared" si="0"/>
        <v>LEONE Luca</v>
      </c>
      <c r="E36" s="96">
        <v>1</v>
      </c>
      <c r="F36" s="32" t="e">
        <f ca="1">_xlfn.IFS($W$9=$X$9,E36*I11*0.9,$W$9=$X$10,E36*I11*0.7,$W$9=$X$11,E36*I11*0.5,$W$9=$X$12,E36*I11)</f>
        <v>#NAME?</v>
      </c>
      <c r="G36" s="32" t="e">
        <f ca="1">TRUNC(IF(COUNTIF(NOMINATIVI!$S$5:$S$28,D36)&gt;0,F36*23.8/NOMINATIVI!$H$36,F36*23.8/NOMINATIVI!$H$35),4)</f>
        <v>#NAME?</v>
      </c>
      <c r="H36" s="32" t="e">
        <f t="shared" ca="1" si="1"/>
        <v>#NAME?</v>
      </c>
      <c r="I36" s="32" t="e">
        <f ca="1">TRUNC(IF(COUNTIF(NOMINATIVI!$S$5:$S$28,D36)&gt;0,F36*NOMINATIVI!$K$36/NOMINATIVI!$H$36,F36*NOMINATIVI!$K$35/NOMINATIVI!$H$35),2)</f>
        <v>#NAME?</v>
      </c>
      <c r="J36" s="32" t="e">
        <f t="shared" ca="1" si="2"/>
        <v>#NAME?</v>
      </c>
      <c r="X36" s="92"/>
    </row>
    <row r="37" spans="3:24" hidden="1">
      <c r="C37" s="173" t="s">
        <v>32</v>
      </c>
      <c r="D37" s="94" t="str">
        <f t="shared" si="0"/>
        <v>LEONE Luca</v>
      </c>
      <c r="E37" s="174">
        <v>0.3</v>
      </c>
      <c r="F37" s="32" t="e">
        <f ca="1">_xlfn.IFS($W$9=$X$9,0.3*I12*0.9,$W$9=$X$10,0.3*I12*0.7,$W$9=$X$11,0.3*I12*0.5,$W$9=$X$12,0.3*I12)</f>
        <v>#NAME?</v>
      </c>
      <c r="G37" s="32" t="e">
        <f ca="1">TRUNC(IF(COUNTIF(NOMINATIVI!$S$5:$S$28,D37)&gt;0,F37*23.8/NOMINATIVI!$H$36,F37*23.8/NOMINATIVI!$H$35),4)</f>
        <v>#NAME?</v>
      </c>
      <c r="H37" s="32" t="e">
        <f t="shared" ca="1" si="1"/>
        <v>#NAME?</v>
      </c>
      <c r="I37" s="32" t="e">
        <f ca="1">TRUNC(IF(COUNTIF(NOMINATIVI!$S$5:$S$28,D37)&gt;0,F37*NOMINATIVI!$K$36/NOMINATIVI!$H$36,F37*NOMINATIVI!$K$35/NOMINATIVI!$H$35),2)</f>
        <v>#NAME?</v>
      </c>
      <c r="J37" s="32" t="e">
        <f t="shared" ca="1" si="2"/>
        <v>#NAME?</v>
      </c>
      <c r="X37" s="92"/>
    </row>
    <row r="38" spans="3:24" hidden="1">
      <c r="C38" s="173"/>
      <c r="D38" s="94" t="str">
        <f t="shared" si="0"/>
        <v>-</v>
      </c>
      <c r="E38" s="174"/>
      <c r="F38" s="32" t="e">
        <f ca="1">_xlfn.IFS($W$9=$X$9,0.3*I13*0.9,$W$9=$X$10,0.3*I13*0.7,$W$9=$X$11,0.3*I13*0.5,$W$9=$X$12,0.3*I13)</f>
        <v>#NAME?</v>
      </c>
      <c r="G38" s="32" t="e">
        <f ca="1">TRUNC(IF(COUNTIF(NOMINATIVI!$S$5:$S$28,D38)&gt;0,F38*23.8/NOMINATIVI!$H$36,F38*23.8/NOMINATIVI!$H$35),4)</f>
        <v>#NAME?</v>
      </c>
      <c r="H38" s="32" t="e">
        <f t="shared" ca="1" si="1"/>
        <v>#NAME?</v>
      </c>
      <c r="I38" s="32" t="e">
        <f ca="1">TRUNC(IF(COUNTIF(NOMINATIVI!$S$5:$S$28,D38)&gt;0,F38*NOMINATIVI!$K$36/NOMINATIVI!$H$36,F38*NOMINATIVI!$K$35/NOMINATIVI!$H$35),2)</f>
        <v>#NAME?</v>
      </c>
      <c r="J38" s="32" t="e">
        <f t="shared" ca="1" si="2"/>
        <v>#NAME?</v>
      </c>
      <c r="X38" s="92"/>
    </row>
    <row r="39" spans="3:24" hidden="1">
      <c r="C39" s="173"/>
      <c r="D39" s="94" t="str">
        <f t="shared" si="0"/>
        <v>-</v>
      </c>
      <c r="E39" s="174"/>
      <c r="F39" s="32" t="e">
        <f ca="1">_xlfn.IFS($W$9=$X$9,0.3*I14*0.9,$W$9=$X$10,0.3*I14*0.7,$W$9=$X$11,0.3*I14*0.5,$W$9=$X$12,0.3*I14)</f>
        <v>#NAME?</v>
      </c>
      <c r="G39" s="32" t="e">
        <f ca="1">TRUNC(IF(COUNTIF(NOMINATIVI!$S$5:$S$28,D39)&gt;0,F39*23.8/NOMINATIVI!$H$36,F39*23.8/NOMINATIVI!$H$35),4)</f>
        <v>#NAME?</v>
      </c>
      <c r="H39" s="32" t="e">
        <f t="shared" ca="1" si="1"/>
        <v>#NAME?</v>
      </c>
      <c r="I39" s="32" t="e">
        <f ca="1">TRUNC(IF(COUNTIF(NOMINATIVI!$S$5:$S$28,D39)&gt;0,F39*NOMINATIVI!$K$36/NOMINATIVI!$H$36,F39*NOMINATIVI!$K$35/NOMINATIVI!$H$35),2)</f>
        <v>#NAME?</v>
      </c>
      <c r="J39" s="32" t="e">
        <f t="shared" ca="1" si="2"/>
        <v>#NAME?</v>
      </c>
      <c r="X39" s="92"/>
    </row>
    <row r="40" spans="3:24" hidden="1">
      <c r="C40" s="20" t="s">
        <v>39</v>
      </c>
      <c r="D40" s="94" t="str">
        <f t="shared" si="0"/>
        <v>LEONE Luca</v>
      </c>
      <c r="E40" s="96">
        <v>0</v>
      </c>
      <c r="F40" s="32">
        <f t="shared" ref="F40:F49" si="3">IF($W$9=$X$9,(I15*E40)*0.9,I15*E40)</f>
        <v>0</v>
      </c>
      <c r="G40" s="32">
        <f>TRUNC(IF(COUNTIF(NOMINATIVI!$S$5:$S$28,D40)&gt;0,F40*23.8/NOMINATIVI!$H$36,F40*23.8/NOMINATIVI!$H$35),4)</f>
        <v>0</v>
      </c>
      <c r="H40" s="32">
        <f t="shared" si="1"/>
        <v>0</v>
      </c>
      <c r="I40" s="32">
        <f>TRUNC(IF(COUNTIF(NOMINATIVI!$S$5:$S$28,D40)&gt;0,F40*NOMINATIVI!$K$36/NOMINATIVI!$H$36,F40*NOMINATIVI!$K$35/NOMINATIVI!$H$35),2)</f>
        <v>0</v>
      </c>
      <c r="J40" s="32">
        <f t="shared" si="2"/>
        <v>0</v>
      </c>
      <c r="X40" s="92"/>
    </row>
    <row r="41" spans="3:24" hidden="1">
      <c r="C41" s="175" t="s">
        <v>66</v>
      </c>
      <c r="D41" s="94" t="str">
        <f t="shared" si="0"/>
        <v>LEONE Luca</v>
      </c>
      <c r="E41" s="174">
        <v>0</v>
      </c>
      <c r="F41" s="32">
        <f t="shared" si="3"/>
        <v>0</v>
      </c>
      <c r="G41" s="32">
        <f>TRUNC(IF(COUNTIF(NOMINATIVI!$S$5:$S$28,D41)&gt;0,F41*23.8/NOMINATIVI!$H$36,F41*23.8/NOMINATIVI!$H$35),4)</f>
        <v>0</v>
      </c>
      <c r="H41" s="32">
        <f t="shared" si="1"/>
        <v>0</v>
      </c>
      <c r="I41" s="32">
        <f>TRUNC(IF(COUNTIF(NOMINATIVI!$S$5:$S$28,D41)&gt;0,F41*NOMINATIVI!$K$36/NOMINATIVI!$H$36,F41*NOMINATIVI!$K$35/NOMINATIVI!$H$35),2)</f>
        <v>0</v>
      </c>
      <c r="J41" s="32">
        <f t="shared" si="2"/>
        <v>0</v>
      </c>
      <c r="X41" s="92"/>
    </row>
    <row r="42" spans="3:24" hidden="1">
      <c r="C42" s="175"/>
      <c r="D42" s="94" t="str">
        <f t="shared" si="0"/>
        <v>LEONE Luca</v>
      </c>
      <c r="E42" s="174"/>
      <c r="F42" s="32">
        <f t="shared" si="3"/>
        <v>0</v>
      </c>
      <c r="G42" s="32">
        <f>TRUNC(IF(COUNTIF(NOMINATIVI!$S$5:$S$28,D42)&gt;0,F42*23.8/NOMINATIVI!$H$36,F42*23.8/NOMINATIVI!$H$35),4)</f>
        <v>0</v>
      </c>
      <c r="H42" s="32">
        <f t="shared" si="1"/>
        <v>0</v>
      </c>
      <c r="I42" s="32">
        <f>TRUNC(IF(COUNTIF(NOMINATIVI!$S$5:$S$28,D42)&gt;0,F42*NOMINATIVI!$K$36/NOMINATIVI!$H$36,F42*NOMINATIVI!$K$35/NOMINATIVI!$H$35),2)</f>
        <v>0</v>
      </c>
      <c r="J42" s="32">
        <f t="shared" si="2"/>
        <v>0</v>
      </c>
      <c r="X42" s="92"/>
    </row>
    <row r="43" spans="3:24" hidden="1">
      <c r="C43" s="175"/>
      <c r="D43" s="94"/>
      <c r="E43" s="174"/>
      <c r="F43" s="32">
        <f t="shared" si="3"/>
        <v>0</v>
      </c>
      <c r="G43" s="32">
        <f>TRUNC(IF(COUNTIF(NOMINATIVI!$S$5:$S$28,D43)&gt;0,F43*23.8/NOMINATIVI!$H$36,F43*23.8/NOMINATIVI!$H$35),4)</f>
        <v>0</v>
      </c>
      <c r="H43" s="32">
        <f t="shared" si="1"/>
        <v>0</v>
      </c>
      <c r="I43" s="32">
        <f>TRUNC(IF(COUNTIF(NOMINATIVI!$S$5:$S$28,D43)&gt;0,F43*NOMINATIVI!$K$36/NOMINATIVI!$H$36,F43*NOMINATIVI!$K$35/NOMINATIVI!$H$35),2)</f>
        <v>0</v>
      </c>
      <c r="J43" s="32">
        <f t="shared" si="2"/>
        <v>0</v>
      </c>
      <c r="X43" s="92"/>
    </row>
    <row r="44" spans="3:24" hidden="1">
      <c r="C44" s="175"/>
      <c r="D44" s="94"/>
      <c r="E44" s="174"/>
      <c r="F44" s="32">
        <f t="shared" si="3"/>
        <v>0</v>
      </c>
      <c r="G44" s="32">
        <f>TRUNC(IF(COUNTIF(NOMINATIVI!$S$5:$S$28,D44)&gt;0,F44*23.8/NOMINATIVI!$H$36,F44*23.8/NOMINATIVI!$H$35),4)</f>
        <v>0</v>
      </c>
      <c r="H44" s="32">
        <f t="shared" si="1"/>
        <v>0</v>
      </c>
      <c r="I44" s="32">
        <f>TRUNC(IF(COUNTIF(NOMINATIVI!$S$5:$S$28,D44)&gt;0,F44*NOMINATIVI!$K$36/NOMINATIVI!$H$36,F44*NOMINATIVI!$K$35/NOMINATIVI!$H$35),2)</f>
        <v>0</v>
      </c>
      <c r="J44" s="32">
        <f t="shared" si="2"/>
        <v>0</v>
      </c>
      <c r="X44" s="92"/>
    </row>
    <row r="45" spans="3:24" hidden="1">
      <c r="C45" s="175"/>
      <c r="D45" s="94" t="str">
        <f>G19</f>
        <v>TROIANI Claudia</v>
      </c>
      <c r="E45" s="174"/>
      <c r="F45" s="32">
        <f t="shared" si="3"/>
        <v>0</v>
      </c>
      <c r="G45" s="32">
        <f>TRUNC(IF(COUNTIF(NOMINATIVI!$S$5:$S$28,D45)&gt;0,F45*23.8/NOMINATIVI!$H$36,F45*23.8/NOMINATIVI!$H$35),4)</f>
        <v>0</v>
      </c>
      <c r="H45" s="32">
        <f t="shared" si="1"/>
        <v>0</v>
      </c>
      <c r="I45" s="32">
        <f>TRUNC(IF(COUNTIF(NOMINATIVI!$S$5:$S$28,D45)&gt;0,F45*NOMINATIVI!$K$36/NOMINATIVI!$H$36,F45*NOMINATIVI!$K$35/NOMINATIVI!$H$35),2)</f>
        <v>0</v>
      </c>
      <c r="J45" s="32">
        <f t="shared" si="2"/>
        <v>0</v>
      </c>
      <c r="X45" s="92"/>
    </row>
    <row r="46" spans="3:24" hidden="1">
      <c r="C46" s="93" t="s">
        <v>49</v>
      </c>
      <c r="D46" s="94" t="str">
        <f t="shared" ref="D46:D52" si="4">G21</f>
        <v>GIUSTINO Andrea</v>
      </c>
      <c r="E46" s="174">
        <v>0</v>
      </c>
      <c r="F46" s="32">
        <f t="shared" si="3"/>
        <v>0</v>
      </c>
      <c r="G46" s="32">
        <f>TRUNC(IF(COUNTIF(NOMINATIVI!$S$5:$S$28,D46)&gt;0,F46*23.8/NOMINATIVI!$H$36,F46*23.8/NOMINATIVI!$H$35),4)</f>
        <v>0</v>
      </c>
      <c r="H46" s="32">
        <f t="shared" si="1"/>
        <v>0</v>
      </c>
      <c r="I46" s="32">
        <f>TRUNC(IF(COUNTIF(NOMINATIVI!$S$5:$S$28,D46)&gt;0,F46*NOMINATIVI!$K$36/NOMINATIVI!$H$36,F46*NOMINATIVI!$K$35/NOMINATIVI!$H$35),2)</f>
        <v>0</v>
      </c>
      <c r="J46" s="32">
        <f t="shared" si="2"/>
        <v>0</v>
      </c>
      <c r="X46" s="92"/>
    </row>
    <row r="47" spans="3:24" hidden="1">
      <c r="C47" s="82" t="s">
        <v>67</v>
      </c>
      <c r="D47" s="94" t="str">
        <f t="shared" si="4"/>
        <v>-</v>
      </c>
      <c r="E47" s="174"/>
      <c r="F47" s="32">
        <f t="shared" si="3"/>
        <v>0</v>
      </c>
      <c r="G47" s="32">
        <f>TRUNC(IF(COUNTIF(NOMINATIVI!$S$5:$S$28,D47)&gt;0,F47*23.8/NOMINATIVI!$H$36,F47*23.8/NOMINATIVI!$H$35),4)</f>
        <v>0</v>
      </c>
      <c r="H47" s="32">
        <f t="shared" si="1"/>
        <v>0</v>
      </c>
      <c r="I47" s="32">
        <f>TRUNC(IF(COUNTIF(NOMINATIVI!$S$5:$S$28,D47)&gt;0,F47*NOMINATIVI!$K$36/NOMINATIVI!$H$36,F47*NOMINATIVI!$K$35/NOMINATIVI!$H$35),2)</f>
        <v>0</v>
      </c>
      <c r="J47" s="32">
        <f t="shared" si="2"/>
        <v>0</v>
      </c>
      <c r="X47" s="92"/>
    </row>
    <row r="48" spans="3:24" hidden="1">
      <c r="C48" s="82" t="s">
        <v>67</v>
      </c>
      <c r="D48" s="97" t="str">
        <f t="shared" si="4"/>
        <v>-</v>
      </c>
      <c r="E48" s="174"/>
      <c r="F48" s="32">
        <f t="shared" si="3"/>
        <v>0</v>
      </c>
      <c r="G48" s="32">
        <f>TRUNC(IF(COUNTIF(NOMINATIVI!$S$5:$S$28,D48)&gt;0,F48*23.8/NOMINATIVI!$H$36,F48*23.8/NOMINATIVI!$H$35),4)</f>
        <v>0</v>
      </c>
      <c r="H48" s="32">
        <f t="shared" si="1"/>
        <v>0</v>
      </c>
      <c r="I48" s="32">
        <f>TRUNC(IF(COUNTIF(NOMINATIVI!$S$5:$S$28,D48)&gt;0,F48*NOMINATIVI!$K$36/NOMINATIVI!$H$36,F48*NOMINATIVI!$K$35/NOMINATIVI!$H$35),2)</f>
        <v>0</v>
      </c>
      <c r="J48" s="32">
        <f t="shared" si="2"/>
        <v>0</v>
      </c>
      <c r="X48" s="92"/>
    </row>
    <row r="49" spans="3:24" hidden="1">
      <c r="C49" s="22" t="s">
        <v>68</v>
      </c>
      <c r="D49" s="97" t="str">
        <f t="shared" si="4"/>
        <v>-</v>
      </c>
      <c r="E49" s="174"/>
      <c r="F49" s="32">
        <f t="shared" si="3"/>
        <v>0</v>
      </c>
      <c r="G49" s="32">
        <f>TRUNC(IF(COUNTIF(NOMINATIVI!$S$5:$S$28,D49)&gt;0,F49*23.8/NOMINATIVI!$H$36,F49*23.8/NOMINATIVI!$H$35),4)</f>
        <v>0</v>
      </c>
      <c r="H49" s="32">
        <f t="shared" si="1"/>
        <v>0</v>
      </c>
      <c r="I49" s="32">
        <f>TRUNC(IF(COUNTIF(NOMINATIVI!$S$5:$S$28,D49)&gt;0,F49*NOMINATIVI!$K$36/NOMINATIVI!$H$36,F49*NOMINATIVI!$K$35/NOMINATIVI!$H$35),2)</f>
        <v>0</v>
      </c>
      <c r="J49" s="32">
        <f t="shared" si="2"/>
        <v>0</v>
      </c>
      <c r="X49" s="92"/>
    </row>
    <row r="50" spans="3:24" hidden="1">
      <c r="C50" s="175" t="s">
        <v>54</v>
      </c>
      <c r="D50" s="94" t="str">
        <f t="shared" si="4"/>
        <v>TROIANI Claudia</v>
      </c>
      <c r="E50" s="174">
        <v>0.2</v>
      </c>
      <c r="F50" s="32" t="e">
        <f ca="1">_xlfn.IFS($W$9=$X$9,E50*I25*0.9,$W$9=$X$10,E50*I25*0.7,$W$9=$X$11,E50*I25*0.5,$W$9=$X$12,E50*I25)</f>
        <v>#NAME?</v>
      </c>
      <c r="G50" s="32" t="e">
        <f ca="1">TRUNC(IF(COUNTIF(NOMINATIVI!$S$5:$S$28,D50)&gt;0,F50*23.8/NOMINATIVI!$H$36,F50*23.8/NOMINATIVI!$H$35),4)</f>
        <v>#NAME?</v>
      </c>
      <c r="H50" s="32" t="e">
        <f t="shared" ca="1" si="1"/>
        <v>#NAME?</v>
      </c>
      <c r="I50" s="32" t="e">
        <f ca="1">TRUNC(IF(COUNTIF(NOMINATIVI!$S$5:$S$28,D50)&gt;0,F50*NOMINATIVI!$K$36/NOMINATIVI!$H$36,F50*NOMINATIVI!$K$35/NOMINATIVI!$H$35),2)</f>
        <v>#NAME?</v>
      </c>
      <c r="J50" s="32" t="e">
        <f t="shared" ca="1" si="2"/>
        <v>#NAME?</v>
      </c>
      <c r="X50" s="92"/>
    </row>
    <row r="51" spans="3:24" hidden="1">
      <c r="C51" s="175"/>
      <c r="D51" s="94" t="str">
        <f t="shared" si="4"/>
        <v>-</v>
      </c>
      <c r="E51" s="174"/>
      <c r="F51" s="32" t="e">
        <f ca="1">_xlfn.IFS($W$9=$X$9,0.2*I26*0.9,$W$9=$X$10,0.2*I26*0.7,$W$9=$X$11,0.2*I26*0.5,$W$9=$X$12,0.2*I26)</f>
        <v>#NAME?</v>
      </c>
      <c r="G51" s="32" t="e">
        <f ca="1">TRUNC(IF(COUNTIF(NOMINATIVI!$S$5:$S$28,D51)&gt;0,F51*23.8/NOMINATIVI!$H$36,F51*23.8/NOMINATIVI!$H$35),4)</f>
        <v>#NAME?</v>
      </c>
      <c r="H51" s="32" t="e">
        <f t="shared" ca="1" si="1"/>
        <v>#NAME?</v>
      </c>
      <c r="I51" s="32" t="e">
        <f ca="1">TRUNC(IF(COUNTIF(NOMINATIVI!$S$5:$S$28,D51)&gt;0,F51*NOMINATIVI!$K$36/NOMINATIVI!$H$36,F51*NOMINATIVI!$K$35/NOMINATIVI!$H$35),2)</f>
        <v>#NAME?</v>
      </c>
      <c r="J51" s="32" t="e">
        <f t="shared" ca="1" si="2"/>
        <v>#NAME?</v>
      </c>
      <c r="X51" s="92"/>
    </row>
    <row r="52" spans="3:24" hidden="1">
      <c r="C52" s="175"/>
      <c r="D52" s="94" t="str">
        <f t="shared" si="4"/>
        <v>-</v>
      </c>
      <c r="E52" s="174"/>
      <c r="F52" s="32" t="e">
        <f ca="1">_xlfn.IFS($W$9=$X$9,0.2*I27*0.9,$W$9=$X$10,0.2*I27*0.7,$W$9=$X$11,0.2*I27*0.5,$W$9=$X$12,0.2*I27)</f>
        <v>#NAME?</v>
      </c>
      <c r="G52" s="32" t="e">
        <f ca="1">TRUNC(IF(COUNTIF(NOMINATIVI!$S$5:$S$28,D52)&gt;0,F52*23.8/NOMINATIVI!$H$36,F52*23.8/NOMINATIVI!$H$35),4)</f>
        <v>#NAME?</v>
      </c>
      <c r="H52" s="32" t="e">
        <f t="shared" ca="1" si="1"/>
        <v>#NAME?</v>
      </c>
      <c r="I52" s="32" t="e">
        <f ca="1">TRUNC(IF(COUNTIF(NOMINATIVI!$S$5:$S$28,D52)&gt;0,F52*NOMINATIVI!$K$36/NOMINATIVI!$H$36,F52*NOMINATIVI!$K$35/NOMINATIVI!$H$35),2)</f>
        <v>#NAME?</v>
      </c>
      <c r="J52" s="32" t="e">
        <f t="shared" ca="1" si="2"/>
        <v>#NAME?</v>
      </c>
      <c r="X52" s="92"/>
    </row>
    <row r="53" spans="3:24" hidden="1">
      <c r="W53" s="92"/>
      <c r="X53" s="92"/>
    </row>
    <row r="54" spans="3:24" ht="15" hidden="1" customHeight="1">
      <c r="C54" s="176" t="s">
        <v>69</v>
      </c>
      <c r="D54" s="176"/>
      <c r="E54" s="176"/>
      <c r="F54" s="176"/>
      <c r="G54" s="176"/>
      <c r="H54" s="176"/>
      <c r="I54" s="176"/>
      <c r="J54" s="176"/>
      <c r="X54" s="92"/>
    </row>
    <row r="55" spans="3:24" hidden="1">
      <c r="C55" s="79" t="s">
        <v>6</v>
      </c>
      <c r="D55" s="79" t="s">
        <v>57</v>
      </c>
      <c r="E55" s="79" t="s">
        <v>58</v>
      </c>
      <c r="F55" s="79" t="s">
        <v>9</v>
      </c>
      <c r="G55" s="79" t="s">
        <v>59</v>
      </c>
      <c r="H55" s="79" t="s">
        <v>60</v>
      </c>
      <c r="I55" s="79" t="s">
        <v>61</v>
      </c>
      <c r="J55" s="26" t="s">
        <v>62</v>
      </c>
      <c r="X55" s="92"/>
    </row>
    <row r="56" spans="3:24" hidden="1">
      <c r="C56" s="93" t="s">
        <v>13</v>
      </c>
      <c r="D56" s="94" t="str">
        <f t="shared" ref="D56:D75" si="5">G8</f>
        <v>LEONE Luca</v>
      </c>
      <c r="E56" s="98">
        <v>0.3</v>
      </c>
      <c r="F56" s="32" t="e">
        <f ca="1">_xlfn.IFS($W$11=$X$9,E56*I8*0.9,$W$11=$X$10,E56*I8*0.7,$W$11=$X$11,E56*I8*0.5,$W$11=$X$12,E56*I8)</f>
        <v>#NAME?</v>
      </c>
      <c r="G56" s="32" t="e">
        <f ca="1">TRUNC(IF(COUNTIF(NOMINATIVI!$S$5:$S$28,D56)&gt;0,F56*23.8/NOMINATIVI!$H$36,F56*23.8/NOMINATIVI!$H$35),4)</f>
        <v>#NAME?</v>
      </c>
      <c r="H56" s="32" t="e">
        <f t="shared" ref="H56:H75" ca="1" si="6">TRUNC(J56*8.5/100,3)</f>
        <v>#NAME?</v>
      </c>
      <c r="I56" s="32" t="e">
        <f ca="1">TRUNC(IF(COUNTIF(NOMINATIVI!$S$5:$S$28,D56)&gt;0,F56*NOMINATIVI!$K$36/NOMINATIVI!$H$36,F56*NOMINATIVI!$K$35/NOMINATIVI!$H$35),2)</f>
        <v>#NAME?</v>
      </c>
      <c r="J56" s="32" t="e">
        <f t="shared" ref="J56:J75" ca="1" si="7">F56-G56-I56</f>
        <v>#NAME?</v>
      </c>
      <c r="X56" s="92"/>
    </row>
    <row r="57" spans="3:24" hidden="1">
      <c r="C57" s="22" t="s">
        <v>64</v>
      </c>
      <c r="D57" s="94" t="str">
        <f t="shared" si="5"/>
        <v>LEONE Luca</v>
      </c>
      <c r="E57" s="99">
        <v>1</v>
      </c>
      <c r="F57" s="32" t="e">
        <f ca="1">_xlfn.IFS($W$11=$X$9,1*I9*0.9,$W$11=$X$10,1*I9*0.7,$W$11=$X$11,1*I9*0.5,$W$11=$X$12,1*I9)</f>
        <v>#NAME?</v>
      </c>
      <c r="G57" s="32" t="e">
        <f ca="1">TRUNC(IF(COUNTIF(NOMINATIVI!$S$5:$S$28,D57)&gt;0,F57*23.8/NOMINATIVI!$H$36,F57*23.8/NOMINATIVI!$H$35),4)</f>
        <v>#NAME?</v>
      </c>
      <c r="H57" s="32" t="e">
        <f t="shared" ca="1" si="6"/>
        <v>#NAME?</v>
      </c>
      <c r="I57" s="32" t="e">
        <f ca="1">TRUNC(IF(COUNTIF(NOMINATIVI!$S$5:$S$28,D57)&gt;0,F57*NOMINATIVI!$K$36/NOMINATIVI!$H$36,F57*NOMINATIVI!$K$35/NOMINATIVI!$H$35),2)</f>
        <v>#NAME?</v>
      </c>
      <c r="J57" s="32" t="e">
        <f t="shared" ca="1" si="7"/>
        <v>#NAME?</v>
      </c>
      <c r="X57" s="92"/>
    </row>
    <row r="58" spans="3:24" hidden="1">
      <c r="C58" s="95" t="s">
        <v>65</v>
      </c>
      <c r="D58" s="94" t="str">
        <f t="shared" si="5"/>
        <v>TROIANI Claudia</v>
      </c>
      <c r="E58" s="100"/>
      <c r="F58" s="32" t="e">
        <f ca="1">_xlfn.IFS($W$11=$X$9,0*I10*0.9,$W$11=$X$10,0*I10*0.7,$W$11=$X$11,0*I10*0.5,$W$11=$X$12,0*I10)</f>
        <v>#NAME?</v>
      </c>
      <c r="G58" s="32" t="e">
        <f ca="1">TRUNC(IF(COUNTIF(NOMINATIVI!$S$5:$S$28,D58)&gt;0,F58*23.8/NOMINATIVI!$H$36,F58*23.8/NOMINATIVI!$H$35),4)</f>
        <v>#NAME?</v>
      </c>
      <c r="H58" s="32" t="e">
        <f t="shared" ca="1" si="6"/>
        <v>#NAME?</v>
      </c>
      <c r="I58" s="32" t="e">
        <f ca="1">TRUNC(IF(COUNTIF(NOMINATIVI!$S$5:$S$28,D58)&gt;0,F58*NOMINATIVI!$K$36/NOMINATIVI!$H$36,F58*NOMINATIVI!$K$35/NOMINATIVI!$H$35),2)</f>
        <v>#NAME?</v>
      </c>
      <c r="J58" s="32" t="e">
        <f t="shared" ca="1" si="7"/>
        <v>#NAME?</v>
      </c>
      <c r="X58" s="92"/>
    </row>
    <row r="59" spans="3:24" hidden="1">
      <c r="C59" s="20" t="s">
        <v>28</v>
      </c>
      <c r="D59" s="94" t="str">
        <f t="shared" si="5"/>
        <v>LEONE Luca</v>
      </c>
      <c r="E59" s="96">
        <v>0</v>
      </c>
      <c r="F59" s="32" t="e">
        <f ca="1">_xlfn.IFS($W$11=$X$9,0*I11*0.9,$W$11=$X$10,0*I11*0.7,$W$11=$X$11,0*I11*0.5,$W$11=$X$12,0*I11)</f>
        <v>#NAME?</v>
      </c>
      <c r="G59" s="32" t="e">
        <f ca="1">TRUNC(IF(COUNTIF(NOMINATIVI!$S$5:$S$28,D59)&gt;0,F59*23.8/NOMINATIVI!$H$36,F59*23.8/NOMINATIVI!$H$35),4)</f>
        <v>#NAME?</v>
      </c>
      <c r="H59" s="32" t="e">
        <f t="shared" ca="1" si="6"/>
        <v>#NAME?</v>
      </c>
      <c r="I59" s="32" t="e">
        <f ca="1">TRUNC(IF(COUNTIF(NOMINATIVI!$S$5:$S$28,D59)&gt;0,F59*NOMINATIVI!$K$36/NOMINATIVI!$H$36,F59*NOMINATIVI!$K$35/NOMINATIVI!$H$35),2)</f>
        <v>#NAME?</v>
      </c>
      <c r="J59" s="32" t="e">
        <f t="shared" ca="1" si="7"/>
        <v>#NAME?</v>
      </c>
      <c r="X59" s="92"/>
    </row>
    <row r="60" spans="3:24" hidden="1">
      <c r="C60" s="173" t="s">
        <v>32</v>
      </c>
      <c r="D60" s="94" t="str">
        <f t="shared" si="5"/>
        <v>LEONE Luca</v>
      </c>
      <c r="E60" s="177">
        <v>0.7</v>
      </c>
      <c r="F60" s="32" t="e">
        <f ca="1">_xlfn.IFS($W$11=$X$9,E60*I12*0.9,$W$11=$X$10,E60*I12*0.7,$W$11=$X$11,E60*I12*0.5,$W$11=$X$12,E60*I12)</f>
        <v>#NAME?</v>
      </c>
      <c r="G60" s="32" t="e">
        <f ca="1">TRUNC(IF(COUNTIF(NOMINATIVI!$S$5:$S$28,D60)&gt;0,F60*23.8/NOMINATIVI!$H$36,F60*23.8/NOMINATIVI!$H$35),4)</f>
        <v>#NAME?</v>
      </c>
      <c r="H60" s="32" t="e">
        <f t="shared" ca="1" si="6"/>
        <v>#NAME?</v>
      </c>
      <c r="I60" s="32" t="e">
        <f ca="1">TRUNC(IF(COUNTIF(NOMINATIVI!$S$5:$S$28,D60)&gt;0,F60*NOMINATIVI!$K$36/NOMINATIVI!$H$36,F60*NOMINATIVI!$K$35/NOMINATIVI!$H$35),2)</f>
        <v>#NAME?</v>
      </c>
      <c r="J60" s="32" t="e">
        <f t="shared" ca="1" si="7"/>
        <v>#NAME?</v>
      </c>
      <c r="X60" s="92"/>
    </row>
    <row r="61" spans="3:24" hidden="1">
      <c r="C61" s="173"/>
      <c r="D61" s="94" t="str">
        <f t="shared" si="5"/>
        <v>-</v>
      </c>
      <c r="E61" s="177"/>
      <c r="F61" s="32" t="e">
        <f ca="1">_xlfn.IFS($W$11=$X$9,0.7*I13*0.9,$W$11=$X$10,0.7*I13*0.7,$W$11=$X$11,0.7*I13*0.5,$W$11=$X$12,0.7*I13)</f>
        <v>#NAME?</v>
      </c>
      <c r="G61" s="32" t="e">
        <f ca="1">TRUNC(IF(COUNTIF(NOMINATIVI!$S$5:$S$28,D61)&gt;0,F61*23.8/NOMINATIVI!$H$36,F61*23.8/NOMINATIVI!$H$35),4)</f>
        <v>#NAME?</v>
      </c>
      <c r="H61" s="32" t="e">
        <f t="shared" ca="1" si="6"/>
        <v>#NAME?</v>
      </c>
      <c r="I61" s="32" t="e">
        <f ca="1">TRUNC(IF(COUNTIF(NOMINATIVI!$S$5:$S$28,D61)&gt;0,F61*NOMINATIVI!$K$36/NOMINATIVI!$H$36,F61*NOMINATIVI!$K$35/NOMINATIVI!$H$35),2)</f>
        <v>#NAME?</v>
      </c>
      <c r="J61" s="32" t="e">
        <f t="shared" ca="1" si="7"/>
        <v>#NAME?</v>
      </c>
      <c r="X61" s="92"/>
    </row>
    <row r="62" spans="3:24" hidden="1">
      <c r="C62" s="173"/>
      <c r="D62" s="94" t="str">
        <f t="shared" si="5"/>
        <v>-</v>
      </c>
      <c r="E62" s="177"/>
      <c r="F62" s="32" t="e">
        <f ca="1">_xlfn.IFS($W$11=$X$9,0.7*I14*0.9,$W$11=$X$10,0.7*I14*0.7,$W$11=$X$11,0.7*I14*0.5,$W$11=$X$12,0.7*I14)</f>
        <v>#NAME?</v>
      </c>
      <c r="G62" s="32" t="e">
        <f ca="1">TRUNC(IF(COUNTIF(NOMINATIVI!$S$5:$S$28,D62)&gt;0,F62*23.8/NOMINATIVI!$H$36,F62*23.8/NOMINATIVI!$H$35),4)</f>
        <v>#NAME?</v>
      </c>
      <c r="H62" s="32" t="e">
        <f t="shared" ca="1" si="6"/>
        <v>#NAME?</v>
      </c>
      <c r="I62" s="32" t="e">
        <f ca="1">TRUNC(IF(COUNTIF(NOMINATIVI!$S$5:$S$28,D62)&gt;0,F62*NOMINATIVI!$K$36/NOMINATIVI!$H$36,F62*NOMINATIVI!$K$35/NOMINATIVI!$H$35),2)</f>
        <v>#NAME?</v>
      </c>
      <c r="J62" s="32" t="e">
        <f t="shared" ca="1" si="7"/>
        <v>#NAME?</v>
      </c>
      <c r="X62" s="92"/>
    </row>
    <row r="63" spans="3:24" hidden="1">
      <c r="C63" s="20" t="s">
        <v>39</v>
      </c>
      <c r="D63" s="94" t="str">
        <f t="shared" si="5"/>
        <v>LEONE Luca</v>
      </c>
      <c r="E63" s="96">
        <v>1</v>
      </c>
      <c r="F63" s="32" t="e">
        <f ca="1">_xlfn.IFS($W$11=$X$9,1*I15*0.9,$W$11=$X$10,1*I15*0.7,$W$11=$X$11,1*I15*0.5,$W$11=$X$12,1*I15)</f>
        <v>#NAME?</v>
      </c>
      <c r="G63" s="32" t="e">
        <f ca="1">TRUNC(IF(COUNTIF(NOMINATIVI!$S$5:$S$28,D63)&gt;0,F63*23.8/NOMINATIVI!$H$36,F63*23.8/NOMINATIVI!$H$35),4)</f>
        <v>#NAME?</v>
      </c>
      <c r="H63" s="32" t="e">
        <f t="shared" ca="1" si="6"/>
        <v>#NAME?</v>
      </c>
      <c r="I63" s="32" t="e">
        <f ca="1">TRUNC(IF(COUNTIF(NOMINATIVI!$S$5:$S$28,D63)&gt;0,F63*NOMINATIVI!$K$36/NOMINATIVI!$H$36,F63*NOMINATIVI!$K$35/NOMINATIVI!$H$35),2)</f>
        <v>#NAME?</v>
      </c>
      <c r="J63" s="32" t="e">
        <f t="shared" ca="1" si="7"/>
        <v>#NAME?</v>
      </c>
      <c r="X63" s="92"/>
    </row>
    <row r="64" spans="3:24" hidden="1">
      <c r="C64" s="175" t="s">
        <v>66</v>
      </c>
      <c r="D64" s="94" t="str">
        <f t="shared" si="5"/>
        <v>LEONE Luca</v>
      </c>
      <c r="E64" s="174">
        <v>1</v>
      </c>
      <c r="F64" s="32" t="e">
        <f ca="1">_xlfn.IFS($W$11=$X$9,E64*I16*0.9,$W$11=$X$10,E64*I16*0.7,$W$11=$X$11,E64*I16*0.5,$W$11=$X$12,E64*I16)</f>
        <v>#NAME?</v>
      </c>
      <c r="G64" s="32" t="e">
        <f ca="1">TRUNC(IF(COUNTIF(NOMINATIVI!$S$5:$S$28,D64)&gt;0,F64*23.8/NOMINATIVI!$H$36,F64*23.8/NOMINATIVI!$H$35),4)</f>
        <v>#NAME?</v>
      </c>
      <c r="H64" s="32" t="e">
        <f t="shared" ca="1" si="6"/>
        <v>#NAME?</v>
      </c>
      <c r="I64" s="32" t="e">
        <f ca="1">TRUNC(IF(COUNTIF(NOMINATIVI!$S$5:$S$28,D64)&gt;0,F64*NOMINATIVI!$K$36/NOMINATIVI!$H$36,F64*NOMINATIVI!$K$35/NOMINATIVI!$H$35),2)</f>
        <v>#NAME?</v>
      </c>
      <c r="J64" s="32" t="e">
        <f t="shared" ca="1" si="7"/>
        <v>#NAME?</v>
      </c>
      <c r="X64" s="92"/>
    </row>
    <row r="65" spans="3:24" hidden="1">
      <c r="C65" s="175"/>
      <c r="D65" s="94" t="str">
        <f t="shared" si="5"/>
        <v>LEONE Luca</v>
      </c>
      <c r="E65" s="174"/>
      <c r="F65" s="32" t="e">
        <f ca="1">_xlfn.IFS($W$11=$X$9,E64*I17*0.9,$W$11=$X$10,E64*I17*0.7,$W$11=$X$11,E64*I17*0.5,$W$11=$X$12,E64*I17)</f>
        <v>#NAME?</v>
      </c>
      <c r="G65" s="32" t="e">
        <f ca="1">TRUNC(IF(COUNTIF(NOMINATIVI!$S$5:$S$28,D65)&gt;0,F65*23.8/NOMINATIVI!$H$36,F65*23.8/NOMINATIVI!$H$35),4)</f>
        <v>#NAME?</v>
      </c>
      <c r="H65" s="32" t="e">
        <f t="shared" ca="1" si="6"/>
        <v>#NAME?</v>
      </c>
      <c r="I65" s="32" t="e">
        <f ca="1">TRUNC(IF(COUNTIF(NOMINATIVI!$S$5:$S$28,D65)&gt;0,F65*NOMINATIVI!$K$36/NOMINATIVI!$H$36,F65*NOMINATIVI!$K$35/NOMINATIVI!$H$35),2)</f>
        <v>#NAME?</v>
      </c>
      <c r="J65" s="32" t="e">
        <f t="shared" ca="1" si="7"/>
        <v>#NAME?</v>
      </c>
      <c r="X65" s="92"/>
    </row>
    <row r="66" spans="3:24" hidden="1">
      <c r="C66" s="175"/>
      <c r="D66" s="94" t="str">
        <f t="shared" si="5"/>
        <v>-</v>
      </c>
      <c r="E66" s="174"/>
      <c r="F66" s="32" t="e">
        <f ca="1">_xlfn.IFS($W$11=$X$9,E64*I18*0.9,$W$11=$X$10,E64*I18*0.7,$W$11=$X$11,E64*I18*0.5,$W$11=$X$12,E64*I18)</f>
        <v>#NAME?</v>
      </c>
      <c r="G66" s="32" t="e">
        <f ca="1">TRUNC(IF(COUNTIF(NOMINATIVI!$S$5:$S$28,D66)&gt;0,F66*23.8/NOMINATIVI!$H$36,F66*23.8/NOMINATIVI!$H$35),4)</f>
        <v>#NAME?</v>
      </c>
      <c r="H66" s="32" t="e">
        <f t="shared" ca="1" si="6"/>
        <v>#NAME?</v>
      </c>
      <c r="I66" s="32" t="e">
        <f ca="1">TRUNC(IF(COUNTIF(NOMINATIVI!$S$5:$S$28,D66)&gt;0,F66*NOMINATIVI!$K$36/NOMINATIVI!$H$36,F66*NOMINATIVI!$K$35/NOMINATIVI!$H$35),2)</f>
        <v>#NAME?</v>
      </c>
      <c r="J66" s="32" t="e">
        <f t="shared" ca="1" si="7"/>
        <v>#NAME?</v>
      </c>
      <c r="X66" s="92"/>
    </row>
    <row r="67" spans="3:24" hidden="1">
      <c r="C67" s="175"/>
      <c r="D67" s="94" t="str">
        <f t="shared" si="5"/>
        <v>TROIANI Claudia</v>
      </c>
      <c r="E67" s="174"/>
      <c r="F67" s="32" t="e">
        <f ca="1">_xlfn.IFS($W$11=$X$9,E64*I19*0.9,$W$11=$X$10,E64*I19*0.7,$W$11=$X$11,E64*I19*0.5,$W$11=$X$12,E64*I19)</f>
        <v>#NAME?</v>
      </c>
      <c r="G67" s="32" t="e">
        <f ca="1">TRUNC(IF(COUNTIF(NOMINATIVI!$S$5:$S$28,D67)&gt;0,F67*23.8/NOMINATIVI!$H$36,F67*23.8/NOMINATIVI!$H$35),4)</f>
        <v>#NAME?</v>
      </c>
      <c r="H67" s="32" t="e">
        <f t="shared" ca="1" si="6"/>
        <v>#NAME?</v>
      </c>
      <c r="I67" s="32" t="e">
        <f ca="1">TRUNC(IF(COUNTIF(NOMINATIVI!$S$5:$S$28,D67)&gt;0,F67*NOMINATIVI!$K$36/NOMINATIVI!$H$36,F67*NOMINATIVI!$K$35/NOMINATIVI!$H$35),2)</f>
        <v>#NAME?</v>
      </c>
      <c r="J67" s="32" t="e">
        <f t="shared" ca="1" si="7"/>
        <v>#NAME?</v>
      </c>
      <c r="X67" s="92"/>
    </row>
    <row r="68" spans="3:24" hidden="1">
      <c r="C68" s="175"/>
      <c r="D68" s="94" t="str">
        <f t="shared" si="5"/>
        <v>-</v>
      </c>
      <c r="E68" s="174"/>
      <c r="F68" s="32" t="e">
        <f ca="1">_xlfn.IFS($W$11=$X$9,E64*I20*0.9,$W$11=$X$10,E64*I20*0.7,$W$11=$X$11,E64*I20*0.5,$W$11=$X$12,E64*I20)</f>
        <v>#NAME?</v>
      </c>
      <c r="G68" s="32" t="e">
        <f ca="1">TRUNC(IF(COUNTIF(NOMINATIVI!$S$5:$S$28,D68)&gt;0,F68*23.8/NOMINATIVI!$H$36,F68*23.8/NOMINATIVI!$H$35),4)</f>
        <v>#NAME?</v>
      </c>
      <c r="H68" s="32" t="e">
        <f t="shared" ca="1" si="6"/>
        <v>#NAME?</v>
      </c>
      <c r="I68" s="32" t="e">
        <f ca="1">TRUNC(IF(COUNTIF(NOMINATIVI!$S$5:$S$28,D68)&gt;0,F68*NOMINATIVI!$K$36/NOMINATIVI!$H$36,F68*NOMINATIVI!$K$35/NOMINATIVI!$H$35),2)</f>
        <v>#NAME?</v>
      </c>
      <c r="J68" s="32" t="e">
        <f t="shared" ca="1" si="7"/>
        <v>#NAME?</v>
      </c>
      <c r="X68" s="92"/>
    </row>
    <row r="69" spans="3:24" hidden="1">
      <c r="C69" s="93" t="s">
        <v>49</v>
      </c>
      <c r="D69" s="94" t="str">
        <f t="shared" si="5"/>
        <v>GIUSTINO Andrea</v>
      </c>
      <c r="E69" s="174">
        <v>0</v>
      </c>
      <c r="F69" s="32">
        <f>IF($W$11=$X$9,(I21*E69)*0.9,I21*E69)</f>
        <v>0</v>
      </c>
      <c r="G69" s="32">
        <f>TRUNC(IF(COUNTIF(NOMINATIVI!$S$5:$S$28,D69)&gt;0,F69*23.8/NOMINATIVI!$H$36,F69*23.8/NOMINATIVI!$H$35),4)</f>
        <v>0</v>
      </c>
      <c r="H69" s="32">
        <f t="shared" si="6"/>
        <v>0</v>
      </c>
      <c r="I69" s="32">
        <f>TRUNC(IF(COUNTIF(NOMINATIVI!$S$5:$S$28,D69)&gt;0,F69*NOMINATIVI!$K$36/NOMINATIVI!$H$36,F69*NOMINATIVI!$K$35/NOMINATIVI!$H$35),2)</f>
        <v>0</v>
      </c>
      <c r="J69" s="32">
        <f t="shared" si="7"/>
        <v>0</v>
      </c>
      <c r="X69" s="92"/>
    </row>
    <row r="70" spans="3:24" hidden="1">
      <c r="C70" s="82" t="s">
        <v>67</v>
      </c>
      <c r="D70" s="94" t="str">
        <f t="shared" si="5"/>
        <v>-</v>
      </c>
      <c r="E70" s="174"/>
      <c r="F70" s="32">
        <f>IF($W$11=$X$9,(I22*E69)*0.9,I22*E69)</f>
        <v>0</v>
      </c>
      <c r="G70" s="32">
        <f>TRUNC(IF(COUNTIF(NOMINATIVI!$S$5:$S$28,D70)&gt;0,F70*23.8/NOMINATIVI!$H$36,F70*23.8/NOMINATIVI!$H$35),4)</f>
        <v>0</v>
      </c>
      <c r="H70" s="32">
        <f t="shared" si="6"/>
        <v>0</v>
      </c>
      <c r="I70" s="32">
        <f>TRUNC(IF(COUNTIF(NOMINATIVI!$S$5:$S$28,D70)&gt;0,F70*NOMINATIVI!$K$36/NOMINATIVI!$H$36,F70*NOMINATIVI!$K$35/NOMINATIVI!$H$35),2)</f>
        <v>0</v>
      </c>
      <c r="J70" s="32">
        <f t="shared" si="7"/>
        <v>0</v>
      </c>
      <c r="X70" s="92"/>
    </row>
    <row r="71" spans="3:24" hidden="1">
      <c r="C71" s="82" t="s">
        <v>67</v>
      </c>
      <c r="D71" s="94" t="str">
        <f t="shared" si="5"/>
        <v>-</v>
      </c>
      <c r="E71" s="174"/>
      <c r="F71" s="32">
        <f>IF($W$11=$X$9,(I23*E69)*0.9,I23*E69)</f>
        <v>0</v>
      </c>
      <c r="G71" s="32">
        <f>TRUNC(IF(COUNTIF(NOMINATIVI!$S$5:$S$28,D71)&gt;0,F71*23.8/NOMINATIVI!$H$36,F71*23.8/NOMINATIVI!$H$35),4)</f>
        <v>0</v>
      </c>
      <c r="H71" s="32">
        <f t="shared" si="6"/>
        <v>0</v>
      </c>
      <c r="I71" s="32">
        <f>TRUNC(IF(COUNTIF(NOMINATIVI!$S$5:$S$28,D71)&gt;0,F71*NOMINATIVI!$K$36/NOMINATIVI!$H$36,F71*NOMINATIVI!$K$35/NOMINATIVI!$H$35),2)</f>
        <v>0</v>
      </c>
      <c r="J71" s="32">
        <f t="shared" si="7"/>
        <v>0</v>
      </c>
      <c r="X71" s="92"/>
    </row>
    <row r="72" spans="3:24" hidden="1">
      <c r="C72" s="22" t="s">
        <v>68</v>
      </c>
      <c r="D72" s="94" t="str">
        <f t="shared" si="5"/>
        <v>-</v>
      </c>
      <c r="E72" s="174"/>
      <c r="F72" s="32">
        <f>IF($W$11=$X$9,(I24*E69)*0.9,I24*E69)</f>
        <v>0</v>
      </c>
      <c r="G72" s="32">
        <f>TRUNC(IF(COUNTIF(NOMINATIVI!$S$5:$S$28,D72)&gt;0,F72*23.8/NOMINATIVI!$H$36,F72*23.8/NOMINATIVI!$H$35),4)</f>
        <v>0</v>
      </c>
      <c r="H72" s="32">
        <f t="shared" si="6"/>
        <v>0</v>
      </c>
      <c r="I72" s="32">
        <f>TRUNC(IF(COUNTIF(NOMINATIVI!$S$5:$S$28,D72)&gt;0,F72*NOMINATIVI!$K$36/NOMINATIVI!$H$36,F72*NOMINATIVI!$K$35/NOMINATIVI!$H$35),2)</f>
        <v>0</v>
      </c>
      <c r="J72" s="32">
        <f t="shared" si="7"/>
        <v>0</v>
      </c>
      <c r="X72" s="92"/>
    </row>
    <row r="73" spans="3:24" hidden="1">
      <c r="C73" s="175" t="s">
        <v>54</v>
      </c>
      <c r="D73" s="94" t="str">
        <f t="shared" si="5"/>
        <v>TROIANI Claudia</v>
      </c>
      <c r="E73" s="174">
        <v>0.6</v>
      </c>
      <c r="F73" s="32" t="e">
        <f ca="1">_xlfn.IFS($W$11=$X$9,E73*I25*0.9,$W$11=$X$10,E73*I25*0.7,$W$11=$X$11,E73*I25*0.5,$W$11=$X$12,E73*I25)</f>
        <v>#NAME?</v>
      </c>
      <c r="G73" s="32" t="e">
        <f ca="1">TRUNC(IF(COUNTIF(NOMINATIVI!$S$5:$S$28,D73)&gt;0,F73*23.8/NOMINATIVI!$H$36,F73*23.8/NOMINATIVI!$H$35),4)</f>
        <v>#NAME?</v>
      </c>
      <c r="H73" s="32" t="e">
        <f t="shared" ca="1" si="6"/>
        <v>#NAME?</v>
      </c>
      <c r="I73" s="32" t="e">
        <f ca="1">TRUNC(IF(COUNTIF(NOMINATIVI!$S$5:$S$28,D73)&gt;0,F73*NOMINATIVI!$K$36/NOMINATIVI!$H$36,F73*NOMINATIVI!$K$35/NOMINATIVI!$H$35),2)</f>
        <v>#NAME?</v>
      </c>
      <c r="J73" s="32" t="e">
        <f t="shared" ca="1" si="7"/>
        <v>#NAME?</v>
      </c>
      <c r="X73" s="92"/>
    </row>
    <row r="74" spans="3:24" hidden="1">
      <c r="C74" s="175"/>
      <c r="D74" s="94" t="str">
        <f t="shared" si="5"/>
        <v>-</v>
      </c>
      <c r="E74" s="174"/>
      <c r="F74" s="32" t="e">
        <f ca="1">_xlfn.IFS($W$11=$X$9,0.6*I26*0.9,$W$11=$X$10,0.6*I26*0.7,$W$11=$X$11,0.6*I26*0.5,$W$11=$X$12,0.6*I26)</f>
        <v>#NAME?</v>
      </c>
      <c r="G74" s="32" t="e">
        <f ca="1">TRUNC(IF(COUNTIF(NOMINATIVI!$S$5:$S$28,D74)&gt;0,F74*23.8/NOMINATIVI!$H$36,F74*23.8/NOMINATIVI!$H$35),4)</f>
        <v>#NAME?</v>
      </c>
      <c r="H74" s="32" t="e">
        <f t="shared" ca="1" si="6"/>
        <v>#NAME?</v>
      </c>
      <c r="I74" s="32" t="e">
        <f ca="1">TRUNC(IF(COUNTIF(NOMINATIVI!$S$5:$S$28,D74)&gt;0,F74*NOMINATIVI!$K$36/NOMINATIVI!$H$36,F74*NOMINATIVI!$K$35/NOMINATIVI!$H$35),2)</f>
        <v>#NAME?</v>
      </c>
      <c r="J74" s="32" t="e">
        <f t="shared" ca="1" si="7"/>
        <v>#NAME?</v>
      </c>
      <c r="X74" s="92"/>
    </row>
    <row r="75" spans="3:24" hidden="1">
      <c r="C75" s="175"/>
      <c r="D75" s="94" t="str">
        <f t="shared" si="5"/>
        <v>-</v>
      </c>
      <c r="E75" s="174"/>
      <c r="F75" s="32" t="e">
        <f ca="1">_xlfn.IFS($W$11=$X$9,0.6*I27*0.9,$W$11=$X$10,0.6*I27*0.7,$W$11=$X$11,0.6*I27*0.5,$W$11=$X$12,0.6*I27)</f>
        <v>#NAME?</v>
      </c>
      <c r="G75" s="32" t="e">
        <f ca="1">TRUNC(IF(COUNTIF(NOMINATIVI!$S$5:$S$28,D75)&gt;0,F75*23.8/NOMINATIVI!$H$36,F75*23.8/NOMINATIVI!$H$35),4)</f>
        <v>#NAME?</v>
      </c>
      <c r="H75" s="32" t="e">
        <f t="shared" ca="1" si="6"/>
        <v>#NAME?</v>
      </c>
      <c r="I75" s="32" t="e">
        <f ca="1">TRUNC(IF(COUNTIF(NOMINATIVI!$S$5:$S$28,D75)&gt;0,F75*NOMINATIVI!$K$36/NOMINATIVI!$H$36,F75*NOMINATIVI!$K$35/NOMINATIVI!$H$35),2)</f>
        <v>#NAME?</v>
      </c>
      <c r="J75" s="32" t="e">
        <f t="shared" ca="1" si="7"/>
        <v>#NAME?</v>
      </c>
      <c r="X75" s="92"/>
    </row>
    <row r="76" spans="3:24" hidden="1">
      <c r="X76" s="92"/>
    </row>
    <row r="77" spans="3:24" ht="15" hidden="1" customHeight="1">
      <c r="C77" s="178" t="s">
        <v>70</v>
      </c>
      <c r="D77" s="178"/>
      <c r="E77" s="178"/>
      <c r="F77" s="178"/>
      <c r="G77" s="178"/>
      <c r="H77" s="178"/>
      <c r="I77" s="178"/>
      <c r="J77" s="178"/>
      <c r="X77" s="92"/>
    </row>
    <row r="78" spans="3:24" hidden="1">
      <c r="C78" s="26" t="s">
        <v>6</v>
      </c>
      <c r="D78" s="26" t="s">
        <v>57</v>
      </c>
      <c r="E78" s="26" t="s">
        <v>58</v>
      </c>
      <c r="F78" s="26" t="s">
        <v>9</v>
      </c>
      <c r="G78" s="26" t="s">
        <v>59</v>
      </c>
      <c r="H78" s="26" t="s">
        <v>60</v>
      </c>
      <c r="I78" s="26" t="s">
        <v>61</v>
      </c>
      <c r="J78" s="26" t="s">
        <v>62</v>
      </c>
      <c r="X78" s="92"/>
    </row>
    <row r="79" spans="3:24" hidden="1">
      <c r="C79" s="93" t="s">
        <v>13</v>
      </c>
      <c r="D79" s="94" t="str">
        <f t="shared" ref="D79:D98" si="8">G8</f>
        <v>LEONE Luca</v>
      </c>
      <c r="E79" s="98">
        <v>0.2</v>
      </c>
      <c r="F79" s="32" t="e">
        <f t="shared" ref="F79:F92" ca="1" si="9">_xlfn.IFS($W$13=$X$9,E79*I8*0.9,$W$13=$X$10,E79*I8*0.7,$W$13=$X$11,E79*I8*0.5,$W$13=$X$12,E79*I8)</f>
        <v>#NAME?</v>
      </c>
      <c r="G79" s="32" t="e">
        <f ca="1">TRUNC(IF(COUNTIF(NOMINATIVI!$S$5:$S$28,D79)&gt;0,F79*23.8/NOMINATIVI!$H$36,F79*23.8/NOMINATIVI!$H$35),4)</f>
        <v>#NAME?</v>
      </c>
      <c r="H79" s="32" t="e">
        <f t="shared" ref="H79:H98" ca="1" si="10">TRUNC(J79*8.5/100,3)</f>
        <v>#NAME?</v>
      </c>
      <c r="I79" s="32" t="e">
        <f ca="1">TRUNC(IF(COUNTIF(NOMINATIVI!$S$5:$S$28,D79)&gt;0,F79*NOMINATIVI!$K$36/NOMINATIVI!$H$36,F79*NOMINATIVI!$K$35/NOMINATIVI!$H$35),2)</f>
        <v>#NAME?</v>
      </c>
      <c r="J79" s="32" t="e">
        <f t="shared" ref="J79:J98" ca="1" si="11">F79-G79-I79</f>
        <v>#NAME?</v>
      </c>
      <c r="X79" s="92"/>
    </row>
    <row r="80" spans="3:24" hidden="1">
      <c r="C80" s="22" t="s">
        <v>64</v>
      </c>
      <c r="D80" s="94" t="str">
        <f t="shared" si="8"/>
        <v>LEONE Luca</v>
      </c>
      <c r="E80" s="102"/>
      <c r="F80" s="32" t="e">
        <f t="shared" ca="1" si="9"/>
        <v>#NAME?</v>
      </c>
      <c r="G80" s="32" t="e">
        <f ca="1">TRUNC(IF(COUNTIF(NOMINATIVI!$S$5:$S$28,D80)&gt;0,F80*23.8/NOMINATIVI!$H$36,F80*23.8/NOMINATIVI!$H$35),4)</f>
        <v>#NAME?</v>
      </c>
      <c r="H80" s="32" t="e">
        <f t="shared" ca="1" si="10"/>
        <v>#NAME?</v>
      </c>
      <c r="I80" s="32" t="e">
        <f ca="1">TRUNC(IF(COUNTIF(NOMINATIVI!$S$5:$S$28,D80)&gt;0,F80*NOMINATIVI!$K$36/NOMINATIVI!$H$36,F80*NOMINATIVI!$K$35/NOMINATIVI!$H$35),2)</f>
        <v>#NAME?</v>
      </c>
      <c r="J80" s="32" t="e">
        <f t="shared" ca="1" si="11"/>
        <v>#NAME?</v>
      </c>
      <c r="X80" s="92"/>
    </row>
    <row r="81" spans="3:24" hidden="1">
      <c r="C81" s="95" t="s">
        <v>65</v>
      </c>
      <c r="D81" s="94" t="str">
        <f t="shared" si="8"/>
        <v>TROIANI Claudia</v>
      </c>
      <c r="E81" s="103">
        <v>1</v>
      </c>
      <c r="F81" s="32" t="e">
        <f t="shared" ca="1" si="9"/>
        <v>#NAME?</v>
      </c>
      <c r="G81" s="32" t="e">
        <f ca="1">TRUNC(IF(COUNTIF(NOMINATIVI!$S$5:$S$28,D81)&gt;0,F81*23.8/NOMINATIVI!$H$36,F81*23.8/NOMINATIVI!$H$35),4)</f>
        <v>#NAME?</v>
      </c>
      <c r="H81" s="32" t="e">
        <f t="shared" ca="1" si="10"/>
        <v>#NAME?</v>
      </c>
      <c r="I81" s="32" t="e">
        <f ca="1">TRUNC(IF(COUNTIF(NOMINATIVI!$S$5:$S$28,D81)&gt;0,F81*NOMINATIVI!$K$36/NOMINATIVI!$H$36,F81*NOMINATIVI!$K$35/NOMINATIVI!$H$35),2)</f>
        <v>#NAME?</v>
      </c>
      <c r="J81" s="32" t="e">
        <f t="shared" ca="1" si="11"/>
        <v>#NAME?</v>
      </c>
      <c r="X81" s="92"/>
    </row>
    <row r="82" spans="3:24" hidden="1">
      <c r="C82" s="20" t="s">
        <v>28</v>
      </c>
      <c r="D82" s="94" t="str">
        <f t="shared" si="8"/>
        <v>LEONE Luca</v>
      </c>
      <c r="E82" s="96">
        <v>0</v>
      </c>
      <c r="F82" s="32" t="e">
        <f t="shared" ca="1" si="9"/>
        <v>#NAME?</v>
      </c>
      <c r="G82" s="32" t="e">
        <f ca="1">TRUNC(IF(COUNTIF(NOMINATIVI!$S$5:$S$28,D82)&gt;0,F82*23.8/NOMINATIVI!$H$36,F82*23.8/NOMINATIVI!$H$35),4)</f>
        <v>#NAME?</v>
      </c>
      <c r="H82" s="32" t="e">
        <f t="shared" ca="1" si="10"/>
        <v>#NAME?</v>
      </c>
      <c r="I82" s="32" t="e">
        <f ca="1">TRUNC(IF(COUNTIF(NOMINATIVI!$S$5:$S$28,D82)&gt;0,F82*NOMINATIVI!$K$36/NOMINATIVI!$H$36,F82*NOMINATIVI!$K$35/NOMINATIVI!$H$35),2)</f>
        <v>#NAME?</v>
      </c>
      <c r="J82" s="32" t="e">
        <f t="shared" ca="1" si="11"/>
        <v>#NAME?</v>
      </c>
      <c r="X82" s="92"/>
    </row>
    <row r="83" spans="3:24" hidden="1">
      <c r="C83" s="173" t="s">
        <v>32</v>
      </c>
      <c r="D83" s="94" t="str">
        <f t="shared" si="8"/>
        <v>LEONE Luca</v>
      </c>
      <c r="E83" s="174">
        <v>0</v>
      </c>
      <c r="F83" s="32" t="e">
        <f t="shared" ca="1" si="9"/>
        <v>#NAME?</v>
      </c>
      <c r="G83" s="32" t="e">
        <f ca="1">TRUNC(IF(COUNTIF(NOMINATIVI!$S$5:$S$28,D83)&gt;0,F83*23.8/NOMINATIVI!$H$36,F83*23.8/NOMINATIVI!$H$35),4)</f>
        <v>#NAME?</v>
      </c>
      <c r="H83" s="32" t="e">
        <f t="shared" ca="1" si="10"/>
        <v>#NAME?</v>
      </c>
      <c r="I83" s="32" t="e">
        <f ca="1">TRUNC(IF(COUNTIF(NOMINATIVI!$S$5:$S$28,D83)&gt;0,F83*NOMINATIVI!$K$36/NOMINATIVI!$H$36,F83*NOMINATIVI!$K$35/NOMINATIVI!$H$35),2)</f>
        <v>#NAME?</v>
      </c>
      <c r="J83" s="32" t="e">
        <f t="shared" ca="1" si="11"/>
        <v>#NAME?</v>
      </c>
      <c r="X83" s="92"/>
    </row>
    <row r="84" spans="3:24" hidden="1">
      <c r="C84" s="173"/>
      <c r="D84" s="94" t="str">
        <f t="shared" si="8"/>
        <v>-</v>
      </c>
      <c r="E84" s="174"/>
      <c r="F84" s="32" t="e">
        <f t="shared" ca="1" si="9"/>
        <v>#NAME?</v>
      </c>
      <c r="G84" s="32" t="e">
        <f ca="1">TRUNC(IF(COUNTIF(NOMINATIVI!$S$5:$S$28,D84)&gt;0,F84*23.8/NOMINATIVI!$H$36,F84*23.8/NOMINATIVI!$H$35),4)</f>
        <v>#NAME?</v>
      </c>
      <c r="H84" s="32" t="e">
        <f t="shared" ca="1" si="10"/>
        <v>#NAME?</v>
      </c>
      <c r="I84" s="32" t="e">
        <f ca="1">TRUNC(IF(COUNTIF(NOMINATIVI!$S$5:$S$28,D84)&gt;0,F84*NOMINATIVI!$K$36/NOMINATIVI!$H$36,F84*NOMINATIVI!$K$35/NOMINATIVI!$H$35),2)</f>
        <v>#NAME?</v>
      </c>
      <c r="J84" s="32" t="e">
        <f t="shared" ca="1" si="11"/>
        <v>#NAME?</v>
      </c>
      <c r="X84" s="92"/>
    </row>
    <row r="85" spans="3:24" hidden="1">
      <c r="C85" s="173"/>
      <c r="D85" s="94" t="str">
        <f t="shared" si="8"/>
        <v>-</v>
      </c>
      <c r="E85" s="96">
        <v>0</v>
      </c>
      <c r="F85" s="32" t="e">
        <f t="shared" ca="1" si="9"/>
        <v>#NAME?</v>
      </c>
      <c r="G85" s="32" t="e">
        <f ca="1">TRUNC(IF(COUNTIF(NOMINATIVI!$S$5:$S$28,D85)&gt;0,F85*23.8/NOMINATIVI!$H$36,F85*23.8/NOMINATIVI!$H$35),4)</f>
        <v>#NAME?</v>
      </c>
      <c r="H85" s="32" t="e">
        <f t="shared" ca="1" si="10"/>
        <v>#NAME?</v>
      </c>
      <c r="I85" s="32" t="e">
        <f ca="1">TRUNC(IF(COUNTIF(NOMINATIVI!$S$5:$S$28,D85)&gt;0,F85*NOMINATIVI!$K$36/NOMINATIVI!$H$36,F85*NOMINATIVI!$K$35/NOMINATIVI!$H$35),2)</f>
        <v>#NAME?</v>
      </c>
      <c r="J85" s="32" t="e">
        <f t="shared" ca="1" si="11"/>
        <v>#NAME?</v>
      </c>
      <c r="X85" s="92"/>
    </row>
    <row r="86" spans="3:24" hidden="1">
      <c r="C86" s="20" t="s">
        <v>39</v>
      </c>
      <c r="D86" s="94" t="str">
        <f t="shared" si="8"/>
        <v>LEONE Luca</v>
      </c>
      <c r="E86" s="96">
        <v>0</v>
      </c>
      <c r="F86" s="32" t="e">
        <f t="shared" ca="1" si="9"/>
        <v>#NAME?</v>
      </c>
      <c r="G86" s="32" t="e">
        <f ca="1">TRUNC(IF(COUNTIF(NOMINATIVI!$S$5:$S$28,D86)&gt;0,F86*23.8/NOMINATIVI!$H$36,F86*23.8/NOMINATIVI!$H$35),4)</f>
        <v>#NAME?</v>
      </c>
      <c r="H86" s="32" t="e">
        <f t="shared" ca="1" si="10"/>
        <v>#NAME?</v>
      </c>
      <c r="I86" s="32" t="e">
        <f ca="1">TRUNC(IF(COUNTIF(NOMINATIVI!$S$5:$S$28,D86)&gt;0,F86*NOMINATIVI!$K$36/NOMINATIVI!$H$36,F86*NOMINATIVI!$K$35/NOMINATIVI!$H$35),2)</f>
        <v>#NAME?</v>
      </c>
      <c r="J86" s="32" t="e">
        <f t="shared" ca="1" si="11"/>
        <v>#NAME?</v>
      </c>
      <c r="X86" s="92"/>
    </row>
    <row r="87" spans="3:24" hidden="1">
      <c r="C87" s="175" t="s">
        <v>66</v>
      </c>
      <c r="D87" s="94" t="str">
        <f t="shared" si="8"/>
        <v>LEONE Luca</v>
      </c>
      <c r="E87" s="174">
        <v>0</v>
      </c>
      <c r="F87" s="32" t="e">
        <f t="shared" ca="1" si="9"/>
        <v>#NAME?</v>
      </c>
      <c r="G87" s="32" t="e">
        <f ca="1">TRUNC(IF(COUNTIF(NOMINATIVI!$S$5:$S$28,D87)&gt;0,F87*23.8/NOMINATIVI!$H$36,F87*23.8/NOMINATIVI!$H$35),4)</f>
        <v>#NAME?</v>
      </c>
      <c r="H87" s="32" t="e">
        <f t="shared" ca="1" si="10"/>
        <v>#NAME?</v>
      </c>
      <c r="I87" s="32" t="e">
        <f ca="1">TRUNC(IF(COUNTIF(NOMINATIVI!$S$5:$S$28,D87)&gt;0,F87*NOMINATIVI!$K$36/NOMINATIVI!$H$36,F87*NOMINATIVI!$K$35/NOMINATIVI!$H$35),2)</f>
        <v>#NAME?</v>
      </c>
      <c r="J87" s="32" t="e">
        <f t="shared" ca="1" si="11"/>
        <v>#NAME?</v>
      </c>
      <c r="X87" s="92"/>
    </row>
    <row r="88" spans="3:24" hidden="1">
      <c r="C88" s="175"/>
      <c r="D88" s="94" t="str">
        <f t="shared" si="8"/>
        <v>LEONE Luca</v>
      </c>
      <c r="E88" s="174"/>
      <c r="F88" s="32" t="e">
        <f t="shared" ca="1" si="9"/>
        <v>#NAME?</v>
      </c>
      <c r="G88" s="32" t="e">
        <f ca="1">TRUNC(IF(COUNTIF(NOMINATIVI!$S$5:$S$28,D88)&gt;0,F88*23.8/NOMINATIVI!$H$36,F88*23.8/NOMINATIVI!$H$35),4)</f>
        <v>#NAME?</v>
      </c>
      <c r="H88" s="32" t="e">
        <f t="shared" ca="1" si="10"/>
        <v>#NAME?</v>
      </c>
      <c r="I88" s="32" t="e">
        <f ca="1">TRUNC(IF(COUNTIF(NOMINATIVI!$S$5:$S$28,D88)&gt;0,F88*NOMINATIVI!$K$36/NOMINATIVI!$H$36,F88*NOMINATIVI!$K$35/NOMINATIVI!$H$35),2)</f>
        <v>#NAME?</v>
      </c>
      <c r="J88" s="32" t="e">
        <f t="shared" ca="1" si="11"/>
        <v>#NAME?</v>
      </c>
      <c r="X88" s="92"/>
    </row>
    <row r="89" spans="3:24" hidden="1">
      <c r="C89" s="175"/>
      <c r="D89" s="94" t="str">
        <f t="shared" si="8"/>
        <v>-</v>
      </c>
      <c r="E89" s="174"/>
      <c r="F89" s="32" t="e">
        <f t="shared" ca="1" si="9"/>
        <v>#NAME?</v>
      </c>
      <c r="G89" s="32" t="e">
        <f ca="1">TRUNC(IF(COUNTIF(NOMINATIVI!$S$5:$S$28,D89)&gt;0,F89*23.8/NOMINATIVI!$H$36,F89*23.8/NOMINATIVI!$H$35),4)</f>
        <v>#NAME?</v>
      </c>
      <c r="H89" s="32" t="e">
        <f t="shared" ca="1" si="10"/>
        <v>#NAME?</v>
      </c>
      <c r="I89" s="32" t="e">
        <f ca="1">TRUNC(IF(COUNTIF(NOMINATIVI!$S$5:$S$28,D89)&gt;0,F89*NOMINATIVI!$K$36/NOMINATIVI!$H$36,F89*NOMINATIVI!$K$35/NOMINATIVI!$H$35),2)</f>
        <v>#NAME?</v>
      </c>
      <c r="J89" s="32" t="e">
        <f t="shared" ca="1" si="11"/>
        <v>#NAME?</v>
      </c>
      <c r="K89" s="104"/>
      <c r="X89" s="92"/>
    </row>
    <row r="90" spans="3:24" hidden="1">
      <c r="C90" s="175"/>
      <c r="D90" s="94" t="str">
        <f t="shared" si="8"/>
        <v>TROIANI Claudia</v>
      </c>
      <c r="E90" s="174"/>
      <c r="F90" s="32" t="e">
        <f t="shared" ca="1" si="9"/>
        <v>#NAME?</v>
      </c>
      <c r="G90" s="32" t="e">
        <f ca="1">TRUNC(IF(COUNTIF(NOMINATIVI!$S$5:$S$28,D90)&gt;0,F90*23.8/NOMINATIVI!$H$36,F90*23.8/NOMINATIVI!$H$35),4)</f>
        <v>#NAME?</v>
      </c>
      <c r="H90" s="32" t="e">
        <f t="shared" ca="1" si="10"/>
        <v>#NAME?</v>
      </c>
      <c r="I90" s="32" t="e">
        <f ca="1">TRUNC(IF(COUNTIF(NOMINATIVI!$S$5:$S$28,D90)&gt;0,F90*NOMINATIVI!$K$36/NOMINATIVI!$H$36,F90*NOMINATIVI!$K$35/NOMINATIVI!$H$35),2)</f>
        <v>#NAME?</v>
      </c>
      <c r="J90" s="32" t="e">
        <f t="shared" ca="1" si="11"/>
        <v>#NAME?</v>
      </c>
      <c r="K90" s="104"/>
      <c r="X90" s="92"/>
    </row>
    <row r="91" spans="3:24" hidden="1">
      <c r="C91" s="175"/>
      <c r="D91" s="94" t="str">
        <f t="shared" si="8"/>
        <v>-</v>
      </c>
      <c r="E91" s="174"/>
      <c r="F91" s="32" t="e">
        <f t="shared" ca="1" si="9"/>
        <v>#NAME?</v>
      </c>
      <c r="G91" s="32" t="e">
        <f ca="1">TRUNC(IF(COUNTIF(NOMINATIVI!$S$5:$S$28,D91)&gt;0,F91*23.8/NOMINATIVI!$H$36,F91*23.8/NOMINATIVI!$H$35),4)</f>
        <v>#NAME?</v>
      </c>
      <c r="H91" s="32" t="e">
        <f t="shared" ca="1" si="10"/>
        <v>#NAME?</v>
      </c>
      <c r="I91" s="32" t="e">
        <f ca="1">TRUNC(IF(COUNTIF(NOMINATIVI!$S$5:$S$28,D91)&gt;0,F91*NOMINATIVI!$K$36/NOMINATIVI!$H$36,F91*NOMINATIVI!$K$35/NOMINATIVI!$H$35),2)</f>
        <v>#NAME?</v>
      </c>
      <c r="J91" s="32" t="e">
        <f t="shared" ca="1" si="11"/>
        <v>#NAME?</v>
      </c>
      <c r="K91" s="104"/>
      <c r="X91" s="92"/>
    </row>
    <row r="92" spans="3:24" hidden="1">
      <c r="C92" s="93" t="s">
        <v>49</v>
      </c>
      <c r="D92" s="94" t="str">
        <f t="shared" si="8"/>
        <v>GIUSTINO Andrea</v>
      </c>
      <c r="E92" s="174">
        <v>1</v>
      </c>
      <c r="F92" s="32" t="e">
        <f t="shared" ca="1" si="9"/>
        <v>#NAME?</v>
      </c>
      <c r="G92" s="32" t="e">
        <f ca="1">TRUNC(IF(COUNTIF(NOMINATIVI!$S$5:$S$28,D92)&gt;0,F92*23.8/NOMINATIVI!$H$36,F92*23.8/NOMINATIVI!$H$35),4)</f>
        <v>#NAME?</v>
      </c>
      <c r="H92" s="32" t="e">
        <f t="shared" ca="1" si="10"/>
        <v>#NAME?</v>
      </c>
      <c r="I92" s="32" t="e">
        <f ca="1">TRUNC(IF(COUNTIF(NOMINATIVI!$S$5:$S$28,D92)&gt;0,F92*NOMINATIVI!$K$36/NOMINATIVI!$H$36,F92*NOMINATIVI!$K$35/NOMINATIVI!$H$35),2)</f>
        <v>#NAME?</v>
      </c>
      <c r="J92" s="32" t="e">
        <f t="shared" ca="1" si="11"/>
        <v>#NAME?</v>
      </c>
      <c r="K92" s="104"/>
      <c r="X92" s="92"/>
    </row>
    <row r="93" spans="3:24" hidden="1">
      <c r="C93" s="82" t="s">
        <v>67</v>
      </c>
      <c r="D93" s="94" t="str">
        <f t="shared" si="8"/>
        <v>-</v>
      </c>
      <c r="E93" s="174"/>
      <c r="F93" s="32" t="e">
        <f ca="1">_xlfn.IFS($W$13=$X$9,E92*I22*0.9,$W$13=$X$10,E92*I22*0.7,$W$13=$X$11,E92*I22*0.5,$W$13=$X$12,E92*I22)</f>
        <v>#NAME?</v>
      </c>
      <c r="G93" s="32" t="e">
        <f ca="1">TRUNC(IF(COUNTIF(NOMINATIVI!$S$5:$S$28,D93)&gt;0,F93*23.8/NOMINATIVI!$H$36,F93*23.8/NOMINATIVI!$H$35),4)</f>
        <v>#NAME?</v>
      </c>
      <c r="H93" s="32" t="e">
        <f t="shared" ca="1" si="10"/>
        <v>#NAME?</v>
      </c>
      <c r="I93" s="32" t="e">
        <f ca="1">TRUNC(IF(COUNTIF(NOMINATIVI!$S$5:$S$28,D93)&gt;0,F93*NOMINATIVI!$K$36/NOMINATIVI!$H$36,F93*NOMINATIVI!$K$35/NOMINATIVI!$H$35),2)</f>
        <v>#NAME?</v>
      </c>
      <c r="J93" s="32" t="e">
        <f t="shared" ca="1" si="11"/>
        <v>#NAME?</v>
      </c>
      <c r="K93" s="104"/>
      <c r="X93" s="92"/>
    </row>
    <row r="94" spans="3:24" hidden="1">
      <c r="C94" s="82" t="s">
        <v>67</v>
      </c>
      <c r="D94" s="94" t="str">
        <f t="shared" si="8"/>
        <v>-</v>
      </c>
      <c r="E94" s="174"/>
      <c r="F94" s="32" t="e">
        <f ca="1">_xlfn.IFS($W$13=$X$9,E92*I23*0.9,$W$13=$X$10,E92*I23*0.7,$W$13=$X$11,E92*I23*0.5,$W$13=$X$12,E92*I23)</f>
        <v>#NAME?</v>
      </c>
      <c r="G94" s="32" t="e">
        <f ca="1">TRUNC(IF(COUNTIF(NOMINATIVI!$S$5:$S$28,D94)&gt;0,F94*23.8/NOMINATIVI!$H$36,F94*23.8/NOMINATIVI!$H$35),4)</f>
        <v>#NAME?</v>
      </c>
      <c r="H94" s="32" t="e">
        <f t="shared" ca="1" si="10"/>
        <v>#NAME?</v>
      </c>
      <c r="I94" s="32" t="e">
        <f ca="1">TRUNC(IF(COUNTIF(NOMINATIVI!$S$5:$S$28,D94)&gt;0,F94*NOMINATIVI!$K$36/NOMINATIVI!$H$36,F94*NOMINATIVI!$K$35/NOMINATIVI!$H$35),2)</f>
        <v>#NAME?</v>
      </c>
      <c r="J94" s="32" t="e">
        <f t="shared" ca="1" si="11"/>
        <v>#NAME?</v>
      </c>
      <c r="K94" s="104"/>
      <c r="X94" s="92"/>
    </row>
    <row r="95" spans="3:24" hidden="1">
      <c r="C95" s="22" t="s">
        <v>68</v>
      </c>
      <c r="D95" s="94" t="str">
        <f t="shared" si="8"/>
        <v>-</v>
      </c>
      <c r="E95" s="174"/>
      <c r="F95" s="32" t="e">
        <f ca="1">_xlfn.IFS($W$13=$X$9,E92*I24*0.9,$W$13=$X$10,E92*I24*0.7,$W$13=$X$11,E92*I24*0.5,$W$13=$X$12,E92*I24)</f>
        <v>#NAME?</v>
      </c>
      <c r="G95" s="32" t="e">
        <f ca="1">TRUNC(IF(COUNTIF(NOMINATIVI!$S$5:$S$28,D95)&gt;0,F95*23.8/NOMINATIVI!$H$36,F95*23.8/NOMINATIVI!$H$35),4)</f>
        <v>#NAME?</v>
      </c>
      <c r="H95" s="32" t="e">
        <f t="shared" ca="1" si="10"/>
        <v>#NAME?</v>
      </c>
      <c r="I95" s="32" t="e">
        <f ca="1">TRUNC(IF(COUNTIF(NOMINATIVI!$S$5:$S$28,D95)&gt;0,F95*NOMINATIVI!$K$36/NOMINATIVI!$H$36,F95*NOMINATIVI!$K$35/NOMINATIVI!$H$35),2)</f>
        <v>#NAME?</v>
      </c>
      <c r="J95" s="32" t="e">
        <f t="shared" ca="1" si="11"/>
        <v>#NAME?</v>
      </c>
      <c r="K95" s="104"/>
      <c r="X95" s="92"/>
    </row>
    <row r="96" spans="3:24" hidden="1">
      <c r="C96" s="175" t="s">
        <v>54</v>
      </c>
      <c r="D96" s="94" t="str">
        <f t="shared" si="8"/>
        <v>TROIANI Claudia</v>
      </c>
      <c r="E96" s="174">
        <v>0.2</v>
      </c>
      <c r="F96" s="32" t="e">
        <f ca="1">_xlfn.IFS($W$13=$X$9,E96*I25*0.9,$W$13=$X$10,E96*I25*0.7,$W$13=$X$11,E96*I25*0.5,$W$13=$X$12,E96*I25)</f>
        <v>#NAME?</v>
      </c>
      <c r="G96" s="32" t="e">
        <f ca="1">TRUNC(IF(COUNTIF(NOMINATIVI!$S$5:$S$28,D96)&gt;0,F96*23.8/NOMINATIVI!$H$36,F96*23.8/NOMINATIVI!$H$35),4)</f>
        <v>#NAME?</v>
      </c>
      <c r="H96" s="32" t="e">
        <f t="shared" ca="1" si="10"/>
        <v>#NAME?</v>
      </c>
      <c r="I96" s="32" t="e">
        <f ca="1">TRUNC(IF(COUNTIF(NOMINATIVI!$S$5:$S$28,D96)&gt;0,F96*NOMINATIVI!$K$36/NOMINATIVI!$H$36,F96*NOMINATIVI!$K$35/NOMINATIVI!$H$35),2)</f>
        <v>#NAME?</v>
      </c>
      <c r="J96" s="32" t="e">
        <f t="shared" ca="1" si="11"/>
        <v>#NAME?</v>
      </c>
      <c r="K96" s="104"/>
      <c r="X96" s="92"/>
    </row>
    <row r="97" spans="3:24" hidden="1">
      <c r="C97" s="175"/>
      <c r="D97" s="94" t="str">
        <f t="shared" si="8"/>
        <v>-</v>
      </c>
      <c r="E97" s="174"/>
      <c r="F97" s="32" t="e">
        <f ca="1">_xlfn.IFS($W$13=$X$9,E97*I26*0.9,$W$13=$X$10,E97*I26*0.7,$W$13=$X$11,E97*I26*0.5,$W$13=$X$12,E97*I26)</f>
        <v>#NAME?</v>
      </c>
      <c r="G97" s="32" t="e">
        <f ca="1">TRUNC(IF(COUNTIF(NOMINATIVI!$S$5:$S$28,D97)&gt;0,F97*23.8/NOMINATIVI!$H$36,F97*23.8/NOMINATIVI!$H$35),4)</f>
        <v>#NAME?</v>
      </c>
      <c r="H97" s="32" t="e">
        <f t="shared" ca="1" si="10"/>
        <v>#NAME?</v>
      </c>
      <c r="I97" s="32" t="e">
        <f ca="1">TRUNC(IF(COUNTIF(NOMINATIVI!$S$5:$S$28,D97)&gt;0,F97*NOMINATIVI!$K$36/NOMINATIVI!$H$36,F97*NOMINATIVI!$K$35/NOMINATIVI!$H$35),2)</f>
        <v>#NAME?</v>
      </c>
      <c r="J97" s="32" t="e">
        <f t="shared" ca="1" si="11"/>
        <v>#NAME?</v>
      </c>
      <c r="X97" s="92"/>
    </row>
    <row r="98" spans="3:24" hidden="1">
      <c r="C98" s="175"/>
      <c r="D98" s="94" t="str">
        <f t="shared" si="8"/>
        <v>-</v>
      </c>
      <c r="E98" s="174"/>
      <c r="F98" s="32" t="e">
        <f ca="1">_xlfn.IFS($W$13=$X$9,E98*I27*0.9,$W$13=$X$10,E98*I27*0.7,$W$13=$X$11,E98*I27*0.5,$W$13=$X$12,E98*I27)</f>
        <v>#NAME?</v>
      </c>
      <c r="G98" s="32" t="e">
        <f ca="1">TRUNC(IF(COUNTIF(NOMINATIVI!$S$5:$S$28,D98)&gt;0,F98*23.8/NOMINATIVI!$H$36,F98*23.8/NOMINATIVI!$H$35),4)</f>
        <v>#NAME?</v>
      </c>
      <c r="H98" s="32" t="e">
        <f t="shared" ca="1" si="10"/>
        <v>#NAME?</v>
      </c>
      <c r="I98" s="32" t="e">
        <f ca="1">TRUNC(IF(COUNTIF(NOMINATIVI!$S$5:$S$28,D98)&gt;0,F98*NOMINATIVI!$K$36/NOMINATIVI!$H$36,F98*NOMINATIVI!$K$35/NOMINATIVI!$H$35),2)</f>
        <v>#NAME?</v>
      </c>
      <c r="J98" s="32" t="e">
        <f t="shared" ca="1" si="11"/>
        <v>#NAME?</v>
      </c>
    </row>
    <row r="99" spans="3:24" hidden="1"/>
    <row r="102" spans="3:24">
      <c r="C102" s="105" t="s">
        <v>7</v>
      </c>
      <c r="D102" s="106" t="s">
        <v>71</v>
      </c>
      <c r="E102" s="107" t="s">
        <v>69</v>
      </c>
      <c r="F102" s="108" t="s">
        <v>72</v>
      </c>
      <c r="G102" s="109" t="s">
        <v>73</v>
      </c>
      <c r="H102" s="110" t="s">
        <v>59</v>
      </c>
      <c r="I102" s="111" t="s">
        <v>61</v>
      </c>
      <c r="J102" s="111" t="s">
        <v>62</v>
      </c>
      <c r="K102" s="112" t="s">
        <v>74</v>
      </c>
    </row>
    <row r="103" spans="3:24">
      <c r="C103" s="113" t="str">
        <f>IF(ROWS(C$103:C103)&gt;$C$122,"",INDEX($G$8:$G$27,SMALL(IF(FREQUENCY(MATCH($G$8:$G$27,$G$8:$G$27,0),ROW($K$8:$K$27)-ROW($K$8)+1),ROW($K$8:$K$27)-ROW($K$8)+1),ROWS(C$103:C103))))</f>
        <v>LEONE Luca</v>
      </c>
      <c r="D103" s="114" t="e">
        <f t="shared" ref="D103:D118" ca="1" si="12">SUMIF($D$33:$D$52,C103,$F$33:$F$52)</f>
        <v>#NAME?</v>
      </c>
      <c r="E103" s="114" t="e">
        <f t="shared" ref="E103:E110" ca="1" si="13">SUMIF(D56:D75,C103,F56:F75)</f>
        <v>#NAME?</v>
      </c>
      <c r="F103" s="115" t="e">
        <f ca="1">SUMIF(D79:D96,C103,F79:F96)</f>
        <v>#NAME?</v>
      </c>
      <c r="G103" s="116" t="e">
        <f t="shared" ref="G103:G118" ca="1" si="14">SUM(D103:F103)</f>
        <v>#NAME?</v>
      </c>
      <c r="H103" s="117" t="e">
        <f t="shared" ref="H103:H118" ca="1" si="15">SUMIF($D$33:$D$52,C103,$G$33:$G$52)+SUMIF($D$56:$D$75,C103,$G$56:$G$75)+SUMIF($D$79:$D$96,C103,$G$79:$G$96)</f>
        <v>#NAME?</v>
      </c>
      <c r="I103" s="118" t="e">
        <f t="shared" ref="I103:I118" ca="1" si="16">SUMIF($D$33:$D$52,C103,$I$33:$I$52)+SUMIF($D$56:$D$75,C103,$I$56:$I$75)+SUMIF($D$79:$D$96,C103,$I$79:$I$96)</f>
        <v>#NAME?</v>
      </c>
      <c r="J103" s="118" t="e">
        <f t="shared" ref="J103:J118" ca="1" si="17">SUMIF($D$33:$D$52,C103,$J$33:$J$52)+SUMIF($D$56:$D$75,C103,$J$56:$J$75)+SUMIF($D$79:$D$98,C103,$J$79:$J$98)</f>
        <v>#NAME?</v>
      </c>
      <c r="K103" s="118" t="e">
        <f t="shared" ref="K103:K118" ca="1" si="18">SUMIF($D$33:$D$52,C103,$H$33:$H$52)+SUMIF($D$56:$D$75,C103,$H$56:$H$75)+SUMIF($D$79:$D$96,C103,$H$79:$H$96)</f>
        <v>#NAME?</v>
      </c>
    </row>
    <row r="104" spans="3:24">
      <c r="C104" s="113" t="str">
        <f t="array" ref="C104">IF(ROWS(C$103:C104)&gt;$C$122,"",INDEX($G$8:$G$27,SMALL(IF(FREQUENCY(MATCH($G$8:$G$27,$G$8:$G$27,0),ROW($K$8:$K$27)-ROW($K$8)+1),ROW($K$8:$K$27)-ROW($K$8)+1),ROWS(C$103:C104))))</f>
        <v>TROIANI Claudia</v>
      </c>
      <c r="D104" s="114" t="e">
        <f t="shared" ca="1" si="12"/>
        <v>#NAME?</v>
      </c>
      <c r="E104" s="114" t="e">
        <f t="shared" ca="1" si="13"/>
        <v>#NAME?</v>
      </c>
      <c r="F104" s="115" t="e">
        <f ca="1">SUMIF(D80:D97,C104,F80:F97)</f>
        <v>#NAME?</v>
      </c>
      <c r="G104" s="116" t="e">
        <f t="shared" ca="1" si="14"/>
        <v>#NAME?</v>
      </c>
      <c r="H104" s="117" t="e">
        <f t="shared" ca="1" si="15"/>
        <v>#NAME?</v>
      </c>
      <c r="I104" s="118" t="e">
        <f t="shared" ca="1" si="16"/>
        <v>#NAME?</v>
      </c>
      <c r="J104" s="118" t="e">
        <f t="shared" ca="1" si="17"/>
        <v>#NAME?</v>
      </c>
      <c r="K104" s="118" t="e">
        <f t="shared" ca="1" si="18"/>
        <v>#NAME?</v>
      </c>
    </row>
    <row r="105" spans="3:24">
      <c r="C105" s="113" t="str">
        <f t="array" ref="C105">IF(ROWS(C$103:C105)&gt;$C$122,"",INDEX($G$8:$G$27,SMALL(IF(FREQUENCY(MATCH($G$8:$G$27,$G$8:$G$27,0),ROW($K$8:$K$27)-ROW($K$8)+1),ROW($K$8:$K$27)-ROW($K$8)+1),ROWS(C$103:C105))))</f>
        <v>-</v>
      </c>
      <c r="D105" s="114" t="e">
        <f t="shared" ca="1" si="12"/>
        <v>#NAME?</v>
      </c>
      <c r="E105" s="114" t="e">
        <f t="shared" ca="1" si="13"/>
        <v>#NAME?</v>
      </c>
      <c r="F105" s="115" t="e">
        <f ca="1">SUMIF(D81:D98,C105,F81:F98)</f>
        <v>#NAME?</v>
      </c>
      <c r="G105" s="116" t="e">
        <f t="shared" ca="1" si="14"/>
        <v>#NAME?</v>
      </c>
      <c r="H105" s="117" t="e">
        <f t="shared" ca="1" si="15"/>
        <v>#NAME?</v>
      </c>
      <c r="I105" s="118" t="e">
        <f t="shared" ca="1" si="16"/>
        <v>#NAME?</v>
      </c>
      <c r="J105" s="118" t="e">
        <f t="shared" ca="1" si="17"/>
        <v>#NAME?</v>
      </c>
      <c r="K105" s="118" t="e">
        <f t="shared" ca="1" si="18"/>
        <v>#NAME?</v>
      </c>
    </row>
    <row r="106" spans="3:24">
      <c r="C106" s="113" t="str">
        <f t="array" ref="C106">IF(ROWS(C$103:C106)&gt;$C$122,"",INDEX($G$8:$G$27,SMALL(IF(FREQUENCY(MATCH($G$8:$G$27,$G$8:$G$27,0),ROW($K$8:$K$27)-ROW($K$8)+1),ROW($K$8:$K$27)-ROW($K$8)+1),ROWS(C$103:C106))))</f>
        <v>GIUSTINO Andrea</v>
      </c>
      <c r="D106" s="114">
        <f t="shared" si="12"/>
        <v>0</v>
      </c>
      <c r="E106" s="114">
        <f t="shared" si="13"/>
        <v>0</v>
      </c>
      <c r="F106" s="115" t="e">
        <f t="shared" ref="F106:F118" ca="1" si="19">SUMIF(D82:D102,C106,F82:F102)</f>
        <v>#NAME?</v>
      </c>
      <c r="G106" s="116" t="e">
        <f t="shared" ca="1" si="14"/>
        <v>#NAME?</v>
      </c>
      <c r="H106" s="117" t="e">
        <f t="shared" ca="1" si="15"/>
        <v>#NAME?</v>
      </c>
      <c r="I106" s="118" t="e">
        <f t="shared" ca="1" si="16"/>
        <v>#NAME?</v>
      </c>
      <c r="J106" s="118" t="e">
        <f t="shared" ca="1" si="17"/>
        <v>#NAME?</v>
      </c>
      <c r="K106" s="118" t="e">
        <f t="shared" ca="1" si="18"/>
        <v>#NAME?</v>
      </c>
    </row>
    <row r="107" spans="3:24">
      <c r="C107" s="113" t="str">
        <f t="array" ref="C107">IF(ROWS(C$103:C107)&gt;$C$122,"",INDEX($G$8:$G$27,SMALL(IF(FREQUENCY(MATCH($G$8:$G$27,$G$8:$G$27,0),ROW($K$8:$K$27)-ROW($K$8)+1),ROW($K$8:$K$27)-ROW($K$8)+1),ROWS(C$103:C107))))</f>
        <v/>
      </c>
      <c r="D107" s="114">
        <f t="shared" si="12"/>
        <v>0</v>
      </c>
      <c r="E107" s="114">
        <f t="shared" si="13"/>
        <v>0</v>
      </c>
      <c r="F107" s="115">
        <f t="shared" ca="1" si="19"/>
        <v>0</v>
      </c>
      <c r="G107" s="116">
        <f t="shared" ca="1" si="14"/>
        <v>0</v>
      </c>
      <c r="H107" s="117">
        <f t="shared" si="15"/>
        <v>0</v>
      </c>
      <c r="I107" s="118">
        <f t="shared" si="16"/>
        <v>0</v>
      </c>
      <c r="J107" s="118">
        <f t="shared" si="17"/>
        <v>0</v>
      </c>
      <c r="K107" s="118">
        <f t="shared" si="18"/>
        <v>0</v>
      </c>
    </row>
    <row r="108" spans="3:24">
      <c r="C108" s="113" t="str">
        <f t="array" ref="C108">IF(ROWS(C$103:C108)&gt;$C$122,"",INDEX($G$8:$G$27,SMALL(IF(FREQUENCY(MATCH($G$8:$G$27,$G$8:$G$27,0),ROW($K$8:$K$27)-ROW($K$8)+1),ROW($K$8:$K$27)-ROW($K$8)+1),ROWS(C$103:C108))))</f>
        <v/>
      </c>
      <c r="D108" s="114">
        <f t="shared" si="12"/>
        <v>0</v>
      </c>
      <c r="E108" s="114">
        <f t="shared" si="13"/>
        <v>0</v>
      </c>
      <c r="F108" s="115">
        <f t="shared" ca="1" si="19"/>
        <v>0</v>
      </c>
      <c r="G108" s="116">
        <f t="shared" ca="1" si="14"/>
        <v>0</v>
      </c>
      <c r="H108" s="117">
        <f t="shared" si="15"/>
        <v>0</v>
      </c>
      <c r="I108" s="118">
        <f t="shared" si="16"/>
        <v>0</v>
      </c>
      <c r="J108" s="118">
        <f t="shared" si="17"/>
        <v>0</v>
      </c>
      <c r="K108" s="118">
        <f t="shared" si="18"/>
        <v>0</v>
      </c>
    </row>
    <row r="109" spans="3:24">
      <c r="C109" s="113" t="str">
        <f t="array" ref="C109">IF(ROWS(C$103:C109)&gt;$C$122,"",INDEX($G$8:$G$27,SMALL(IF(FREQUENCY(MATCH($G$8:$G$27,$G$8:$G$27,0),ROW($K$8:$K$27)-ROW($K$8)+1),ROW($K$8:$K$27)-ROW($K$8)+1),ROWS(C$103:C109))))</f>
        <v/>
      </c>
      <c r="D109" s="114">
        <f t="shared" si="12"/>
        <v>0</v>
      </c>
      <c r="E109" s="114">
        <f t="shared" si="13"/>
        <v>0</v>
      </c>
      <c r="F109" s="115">
        <f t="shared" ca="1" si="19"/>
        <v>0</v>
      </c>
      <c r="G109" s="116">
        <f t="shared" ca="1" si="14"/>
        <v>0</v>
      </c>
      <c r="H109" s="117">
        <f t="shared" si="15"/>
        <v>0</v>
      </c>
      <c r="I109" s="118">
        <f t="shared" si="16"/>
        <v>0</v>
      </c>
      <c r="J109" s="118">
        <f t="shared" si="17"/>
        <v>0</v>
      </c>
      <c r="K109" s="118">
        <f t="shared" si="18"/>
        <v>0</v>
      </c>
      <c r="S109" s="15" t="s">
        <v>75</v>
      </c>
    </row>
    <row r="110" spans="3:24">
      <c r="C110" s="113" t="str">
        <f t="array" ref="C110">IF(ROWS(C$103:C110)&gt;$C$122,"",INDEX($G$8:$G$27,SMALL(IF(FREQUENCY(MATCH($G$8:$G$27,$G$8:$G$27,0),ROW($K$8:$K$27)-ROW($K$8)+1),ROW($K$8:$K$27)-ROW($K$8)+1),ROWS(C$103:C110))))</f>
        <v/>
      </c>
      <c r="D110" s="114">
        <f t="shared" si="12"/>
        <v>0</v>
      </c>
      <c r="E110" s="114">
        <f t="shared" si="13"/>
        <v>0</v>
      </c>
      <c r="F110" s="115">
        <f t="shared" ca="1" si="19"/>
        <v>0</v>
      </c>
      <c r="G110" s="116">
        <f t="shared" ca="1" si="14"/>
        <v>0</v>
      </c>
      <c r="H110" s="117">
        <f t="shared" si="15"/>
        <v>0</v>
      </c>
      <c r="I110" s="118">
        <f t="shared" si="16"/>
        <v>0</v>
      </c>
      <c r="J110" s="118">
        <f t="shared" si="17"/>
        <v>0</v>
      </c>
      <c r="K110" s="118">
        <f t="shared" si="18"/>
        <v>0</v>
      </c>
      <c r="S110" s="15" t="s">
        <v>76</v>
      </c>
      <c r="V110" s="179" t="str">
        <f>+V141</f>
        <v>LEONE Luca</v>
      </c>
      <c r="W110" s="179"/>
    </row>
    <row r="111" spans="3:24">
      <c r="C111" s="113" t="str">
        <f t="array" ref="C111">IF(ROWS(C$103:C111)&gt;$C$122,"",INDEX($G$8:$G$27,SMALL(IF(FREQUENCY(MATCH($G$8:$G$27,$G$8:$G$27,0),ROW($K$8:$K$27)-ROW($K$8)+1),ROW($K$8:$K$27)-ROW($K$8)+1),ROWS(C$103:C111))))</f>
        <v/>
      </c>
      <c r="D111" s="114">
        <f t="shared" si="12"/>
        <v>0</v>
      </c>
      <c r="E111" s="114">
        <f>SUMIF(D63:D83,C111,F63:F83)</f>
        <v>0</v>
      </c>
      <c r="F111" s="115">
        <f t="shared" ca="1" si="19"/>
        <v>0</v>
      </c>
      <c r="G111" s="116">
        <f t="shared" ca="1" si="14"/>
        <v>0</v>
      </c>
      <c r="H111" s="117">
        <f t="shared" si="15"/>
        <v>0</v>
      </c>
      <c r="I111" s="118">
        <f t="shared" si="16"/>
        <v>0</v>
      </c>
      <c r="J111" s="118">
        <f t="shared" si="17"/>
        <v>0</v>
      </c>
      <c r="K111" s="118">
        <f t="shared" si="18"/>
        <v>0</v>
      </c>
    </row>
    <row r="112" spans="3:24">
      <c r="C112" s="113" t="str">
        <f t="array" ref="C112">IF(ROWS(C$103:C112)&gt;$C$122,"",INDEX($G$8:$G$27,SMALL(IF(FREQUENCY(MATCH($G$8:$G$27,$G$8:$G$27,0),ROW($K$8:$K$27)-ROW($K$8)+1),ROW($K$8:$K$27)-ROW($K$8)+1),ROWS(C$103:C112))))</f>
        <v/>
      </c>
      <c r="D112" s="114">
        <f t="shared" si="12"/>
        <v>0</v>
      </c>
      <c r="E112" s="114">
        <f>SUMIF(D64:D84,C112,F64:F84)</f>
        <v>0</v>
      </c>
      <c r="F112" s="115">
        <f t="shared" ca="1" si="19"/>
        <v>0</v>
      </c>
      <c r="G112" s="116">
        <f t="shared" ca="1" si="14"/>
        <v>0</v>
      </c>
      <c r="H112" s="117">
        <f t="shared" si="15"/>
        <v>0</v>
      </c>
      <c r="I112" s="118">
        <f t="shared" si="16"/>
        <v>0</v>
      </c>
      <c r="J112" s="118">
        <f t="shared" si="17"/>
        <v>0</v>
      </c>
      <c r="K112" s="118">
        <f t="shared" si="18"/>
        <v>0</v>
      </c>
      <c r="S112" s="15" t="s">
        <v>77</v>
      </c>
    </row>
    <row r="113" spans="3:16">
      <c r="C113" s="113" t="str">
        <f t="array" ref="C113">IF(ROWS(C$103:C113)&gt;$C$122,"",INDEX($G$8:$G$27,SMALL(IF(FREQUENCY(MATCH($G$8:$G$27,$G$8:$G$27,0),ROW($K$8:$K$27)-ROW($K$8)+1),ROW($K$8:$K$27)-ROW($K$8)+1),ROWS(C$103:C113))))</f>
        <v/>
      </c>
      <c r="D113" s="114">
        <f t="shared" si="12"/>
        <v>0</v>
      </c>
      <c r="E113" s="114">
        <f>SUMIF(D65:D85,C113,F65:F85)</f>
        <v>0</v>
      </c>
      <c r="F113" s="115">
        <f t="shared" ca="1" si="19"/>
        <v>0</v>
      </c>
      <c r="G113" s="116">
        <f t="shared" ca="1" si="14"/>
        <v>0</v>
      </c>
      <c r="H113" s="117">
        <f t="shared" si="15"/>
        <v>0</v>
      </c>
      <c r="I113" s="118">
        <f t="shared" si="16"/>
        <v>0</v>
      </c>
      <c r="J113" s="118">
        <f t="shared" si="17"/>
        <v>0</v>
      </c>
      <c r="K113" s="118">
        <f t="shared" si="18"/>
        <v>0</v>
      </c>
    </row>
    <row r="114" spans="3:16">
      <c r="C114" s="113" t="str">
        <f t="array" ref="C114">IF(ROWS(C$103:C114)&gt;$C$122,"",INDEX($G$8:$G$27,SMALL(IF(FREQUENCY(MATCH($G$8:$G$27,$G$8:$G$27,0),ROW($K$8:$K$27)-ROW($K$8)+1),ROW($K$8:$K$27)-ROW($K$8)+1),ROWS(C$103:C114))))</f>
        <v/>
      </c>
      <c r="D114" s="114">
        <f t="shared" si="12"/>
        <v>0</v>
      </c>
      <c r="E114" s="114">
        <f>SUMIF(D68:D86,C114,F68:F86)</f>
        <v>0</v>
      </c>
      <c r="F114" s="115">
        <f t="shared" ca="1" si="19"/>
        <v>0</v>
      </c>
      <c r="G114" s="116">
        <f t="shared" ca="1" si="14"/>
        <v>0</v>
      </c>
      <c r="H114" s="117">
        <f t="shared" si="15"/>
        <v>0</v>
      </c>
      <c r="I114" s="118">
        <f t="shared" si="16"/>
        <v>0</v>
      </c>
      <c r="J114" s="118">
        <f t="shared" si="17"/>
        <v>0</v>
      </c>
      <c r="K114" s="118">
        <f t="shared" si="18"/>
        <v>0</v>
      </c>
    </row>
    <row r="115" spans="3:16">
      <c r="C115" s="113" t="str">
        <f t="array" ref="C115">IF(ROWS(C$103:C115)&gt;$C$122,"",INDEX($G$8:$G$27,SMALL(IF(FREQUENCY(MATCH($G$8:$G$27,$G$8:$G$27,0),ROW($K$8:$K$27)-ROW($K$8)+1),ROW($K$8:$K$27)-ROW($K$8)+1),ROWS(C$103:C115))))</f>
        <v/>
      </c>
      <c r="D115" s="114">
        <f t="shared" si="12"/>
        <v>0</v>
      </c>
      <c r="E115" s="114">
        <f>SUMIF(D69:D87,C115,F69:F87)</f>
        <v>0</v>
      </c>
      <c r="F115" s="115">
        <f t="shared" ca="1" si="19"/>
        <v>0</v>
      </c>
      <c r="G115" s="116">
        <f t="shared" ca="1" si="14"/>
        <v>0</v>
      </c>
      <c r="H115" s="117">
        <f t="shared" si="15"/>
        <v>0</v>
      </c>
      <c r="I115" s="118">
        <f t="shared" si="16"/>
        <v>0</v>
      </c>
      <c r="J115" s="118">
        <f t="shared" si="17"/>
        <v>0</v>
      </c>
      <c r="K115" s="118">
        <f t="shared" si="18"/>
        <v>0</v>
      </c>
    </row>
    <row r="116" spans="3:16">
      <c r="C116" s="113" t="str">
        <f t="array" ref="C116">IF(ROWS(C$103:C116)&gt;$C$122,"",INDEX($G$8:$G$27,SMALL(IF(FREQUENCY(MATCH($G$8:$G$27,$G$8:$G$27,0),ROW($K$8:$K$27)-ROW($K$8)+1),ROW($K$8:$K$27)-ROW($K$8)+1),ROWS(C$103:C116))))</f>
        <v/>
      </c>
      <c r="D116" s="114">
        <f t="shared" si="12"/>
        <v>0</v>
      </c>
      <c r="E116" s="114">
        <f>SUMIF(D70:D88,C116,F70:F88)</f>
        <v>0</v>
      </c>
      <c r="F116" s="115">
        <f t="shared" ca="1" si="19"/>
        <v>0</v>
      </c>
      <c r="G116" s="116">
        <f t="shared" ca="1" si="14"/>
        <v>0</v>
      </c>
      <c r="H116" s="117">
        <f t="shared" si="15"/>
        <v>0</v>
      </c>
      <c r="I116" s="118">
        <f t="shared" si="16"/>
        <v>0</v>
      </c>
      <c r="J116" s="118">
        <f t="shared" si="17"/>
        <v>0</v>
      </c>
      <c r="K116" s="118">
        <f t="shared" si="18"/>
        <v>0</v>
      </c>
    </row>
    <row r="117" spans="3:16">
      <c r="C117" s="113" t="str">
        <f t="array" ref="C117">IF(ROWS(C$103:C117)&gt;$C$122,"",INDEX($G$8:$G$27,SMALL(IF(FREQUENCY(MATCH($G$8:$G$27,$G$8:$G$27,0),ROW($K$8:$K$27)-ROW($K$8)+1),ROW($K$8:$K$27)-ROW($K$8)+1),ROWS(C$103:C117))))</f>
        <v/>
      </c>
      <c r="D117" s="114">
        <f t="shared" si="12"/>
        <v>0</v>
      </c>
      <c r="E117" s="114">
        <f>SUMIF(D72:D89,C117,F72:F89)</f>
        <v>0</v>
      </c>
      <c r="F117" s="115">
        <f t="shared" ca="1" si="19"/>
        <v>0</v>
      </c>
      <c r="G117" s="116">
        <f t="shared" ca="1" si="14"/>
        <v>0</v>
      </c>
      <c r="H117" s="117">
        <f t="shared" si="15"/>
        <v>0</v>
      </c>
      <c r="I117" s="118">
        <f t="shared" si="16"/>
        <v>0</v>
      </c>
      <c r="J117" s="118">
        <f t="shared" si="17"/>
        <v>0</v>
      </c>
      <c r="K117" s="118">
        <f t="shared" si="18"/>
        <v>0</v>
      </c>
    </row>
    <row r="118" spans="3:16">
      <c r="C118" s="113" t="str">
        <f t="array" ref="C118">IF(ROWS(C$103:C118)&gt;$C$122,"",INDEX($G$8:$G$27,SMALL(IF(FREQUENCY(MATCH($G$8:$G$27,$G$8:$G$27,0),ROW($K$8:$K$27)-ROW($K$8)+1),ROW($K$8:$K$27)-ROW($K$8)+1),ROWS(C$103:C118))))</f>
        <v/>
      </c>
      <c r="D118" s="114">
        <f t="shared" si="12"/>
        <v>0</v>
      </c>
      <c r="E118" s="114">
        <f>SUMIF(D73:D90,C118,F73:F90)</f>
        <v>0</v>
      </c>
      <c r="F118" s="115">
        <f t="shared" ca="1" si="19"/>
        <v>0</v>
      </c>
      <c r="G118" s="119">
        <f t="shared" ca="1" si="14"/>
        <v>0</v>
      </c>
      <c r="H118" s="117">
        <f t="shared" si="15"/>
        <v>0</v>
      </c>
      <c r="I118" s="118">
        <f t="shared" si="16"/>
        <v>0</v>
      </c>
      <c r="J118" s="118">
        <f t="shared" si="17"/>
        <v>0</v>
      </c>
      <c r="K118" s="118">
        <f t="shared" si="18"/>
        <v>0</v>
      </c>
    </row>
    <row r="119" spans="3:16">
      <c r="C119" s="120" t="s">
        <v>78</v>
      </c>
      <c r="D119" s="121" t="e">
        <f t="shared" ref="D119:K119" ca="1" si="20">SUM(D103:D118)</f>
        <v>#NAME?</v>
      </c>
      <c r="E119" s="121" t="e">
        <f t="shared" ca="1" si="20"/>
        <v>#NAME?</v>
      </c>
      <c r="F119" s="122" t="e">
        <f t="shared" ca="1" si="20"/>
        <v>#NAME?</v>
      </c>
      <c r="G119" s="123" t="e">
        <f t="shared" ca="1" si="20"/>
        <v>#NAME?</v>
      </c>
      <c r="H119" s="123" t="e">
        <f t="shared" ca="1" si="20"/>
        <v>#NAME?</v>
      </c>
      <c r="I119" s="123" t="e">
        <f t="shared" ca="1" si="20"/>
        <v>#NAME?</v>
      </c>
      <c r="J119" s="123" t="e">
        <f t="shared" ca="1" si="20"/>
        <v>#NAME?</v>
      </c>
      <c r="K119" s="123" t="e">
        <f t="shared" ca="1" si="20"/>
        <v>#NAME?</v>
      </c>
    </row>
    <row r="121" spans="3:16">
      <c r="C121" s="124"/>
    </row>
    <row r="122" spans="3:16">
      <c r="C122" s="125">
        <f>SUMPRODUCT(1/COUNTIF(G8:G27,G8:G27))</f>
        <v>4</v>
      </c>
    </row>
    <row r="123" spans="3:16">
      <c r="C123" s="124"/>
    </row>
    <row r="124" spans="3:16">
      <c r="C124" s="124"/>
    </row>
    <row r="126" spans="3:16">
      <c r="C126" s="20" t="s">
        <v>79</v>
      </c>
      <c r="D126" s="180" t="str">
        <f>D3</f>
        <v>MANUTENZIONE IMPIANTO DI VIDEOSORVEGLIANZA E VARCHI TARGA</v>
      </c>
      <c r="E126" s="180"/>
      <c r="F126" s="180"/>
      <c r="G126" s="180"/>
      <c r="H126" s="180"/>
      <c r="I126" s="180"/>
      <c r="J126" s="180"/>
      <c r="K126" s="180"/>
      <c r="L126" s="180"/>
      <c r="M126" s="180"/>
      <c r="N126" s="180"/>
      <c r="O126" s="180"/>
      <c r="P126" s="180"/>
    </row>
    <row r="127" spans="3:16">
      <c r="C127" s="20" t="s">
        <v>2</v>
      </c>
      <c r="D127" s="20" t="str">
        <f>D4</f>
        <v>---</v>
      </c>
    </row>
    <row r="128" spans="3:16">
      <c r="C128" s="20" t="s">
        <v>4</v>
      </c>
      <c r="D128" s="20" t="str">
        <f>D5</f>
        <v>BCC8268AAD</v>
      </c>
    </row>
    <row r="129" spans="3:23">
      <c r="G129" s="105" t="s">
        <v>7</v>
      </c>
      <c r="H129" s="106" t="s">
        <v>71</v>
      </c>
      <c r="I129" s="107" t="s">
        <v>69</v>
      </c>
      <c r="J129" s="126" t="s">
        <v>73</v>
      </c>
      <c r="K129" s="127" t="s">
        <v>59</v>
      </c>
      <c r="L129" s="126" t="s">
        <v>61</v>
      </c>
      <c r="M129" s="126" t="s">
        <v>80</v>
      </c>
      <c r="N129" s="112" t="s">
        <v>74</v>
      </c>
    </row>
    <row r="130" spans="3:23">
      <c r="G130" s="128" t="str">
        <f t="shared" ref="G130:G145" si="21">C103</f>
        <v>LEONE Luca</v>
      </c>
      <c r="H130" s="128" t="e">
        <f t="shared" ref="H130:H145" ca="1" si="22">D103</f>
        <v>#NAME?</v>
      </c>
      <c r="I130" s="128" t="e">
        <f t="shared" ref="I130:I145" ca="1" si="23">E103</f>
        <v>#NAME?</v>
      </c>
      <c r="J130" s="128" t="e">
        <f t="shared" ref="J130:J145" ca="1" si="24">SUM(H130:I130)</f>
        <v>#NAME?</v>
      </c>
      <c r="K130" s="128" t="e">
        <f t="shared" ref="K130:K145" ca="1" si="25">SUMIF($D$33:$D$52,G130,$G$33:$G$52)+SUMIF($D$56:$D$75,G130,$G$56:$G$75)</f>
        <v>#NAME?</v>
      </c>
      <c r="L130" s="128" t="e">
        <f t="shared" ref="L130:L145" ca="1" si="26">SUMIF($D$33:$D$52,G130,$I$33:$I$52)+SUMIF($D$56:$D$75,G130,$I$56:$I$75)</f>
        <v>#NAME?</v>
      </c>
      <c r="M130" s="128" t="e">
        <f t="shared" ref="M130:M145" ca="1" si="27">SUMIF($D$33:$D$52,G130,$J$33:$J$52)+SUMIF($D$56:$D$75,G130,$J$56:$J$75)</f>
        <v>#NAME?</v>
      </c>
      <c r="N130" s="128" t="e">
        <f t="shared" ref="N130:N145" ca="1" si="28">SUMIF($D$33:$D$52,G130,$H$33:$H$52)+SUMIF($D$56:$D$75,G130,$H$56:$H$75)</f>
        <v>#NAME?</v>
      </c>
    </row>
    <row r="131" spans="3:23">
      <c r="G131" s="128" t="str">
        <f t="shared" si="21"/>
        <v>TROIANI Claudia</v>
      </c>
      <c r="H131" s="128" t="e">
        <f t="shared" ca="1" si="22"/>
        <v>#NAME?</v>
      </c>
      <c r="I131" s="128" t="e">
        <f t="shared" ca="1" si="23"/>
        <v>#NAME?</v>
      </c>
      <c r="J131" s="128" t="e">
        <f t="shared" ca="1" si="24"/>
        <v>#NAME?</v>
      </c>
      <c r="K131" s="128" t="e">
        <f t="shared" ca="1" si="25"/>
        <v>#NAME?</v>
      </c>
      <c r="L131" s="128" t="e">
        <f t="shared" ca="1" si="26"/>
        <v>#NAME?</v>
      </c>
      <c r="M131" s="128" t="e">
        <f t="shared" ca="1" si="27"/>
        <v>#NAME?</v>
      </c>
      <c r="N131" s="128" t="e">
        <f t="shared" ca="1" si="28"/>
        <v>#NAME?</v>
      </c>
    </row>
    <row r="132" spans="3:23">
      <c r="C132" s="181" t="s">
        <v>81</v>
      </c>
      <c r="D132" s="181"/>
      <c r="E132" s="32">
        <f>D11</f>
        <v>308.06556623999995</v>
      </c>
      <c r="G132" s="128" t="str">
        <f t="shared" si="21"/>
        <v>-</v>
      </c>
      <c r="H132" s="128" t="e">
        <f t="shared" ca="1" si="22"/>
        <v>#NAME?</v>
      </c>
      <c r="I132" s="128" t="e">
        <f t="shared" ca="1" si="23"/>
        <v>#NAME?</v>
      </c>
      <c r="J132" s="128" t="e">
        <f t="shared" ca="1" si="24"/>
        <v>#NAME?</v>
      </c>
      <c r="K132" s="128" t="e">
        <f t="shared" ca="1" si="25"/>
        <v>#NAME?</v>
      </c>
      <c r="L132" s="128" t="e">
        <f t="shared" ca="1" si="26"/>
        <v>#NAME?</v>
      </c>
      <c r="M132" s="128" t="e">
        <f t="shared" ca="1" si="27"/>
        <v>#NAME?</v>
      </c>
      <c r="N132" s="128" t="e">
        <f t="shared" ca="1" si="28"/>
        <v>#NAME?</v>
      </c>
    </row>
    <row r="133" spans="3:23">
      <c r="C133" s="181" t="s">
        <v>82</v>
      </c>
      <c r="D133" s="181"/>
      <c r="E133" s="32">
        <f>D13</f>
        <v>1167.3442337600002</v>
      </c>
      <c r="G133" s="128" t="str">
        <f t="shared" si="21"/>
        <v>GIUSTINO Andrea</v>
      </c>
      <c r="H133" s="128">
        <f t="shared" si="22"/>
        <v>0</v>
      </c>
      <c r="I133" s="128">
        <f t="shared" si="23"/>
        <v>0</v>
      </c>
      <c r="J133" s="128">
        <f t="shared" si="24"/>
        <v>0</v>
      </c>
      <c r="K133" s="128">
        <f t="shared" si="25"/>
        <v>0</v>
      </c>
      <c r="L133" s="128">
        <f t="shared" si="26"/>
        <v>0</v>
      </c>
      <c r="M133" s="128">
        <f t="shared" si="27"/>
        <v>0</v>
      </c>
      <c r="N133" s="128">
        <f t="shared" si="28"/>
        <v>0</v>
      </c>
    </row>
    <row r="134" spans="3:23">
      <c r="C134" s="20" t="s">
        <v>83</v>
      </c>
      <c r="D134" s="20"/>
      <c r="E134" s="32" t="e">
        <f ca="1">J146</f>
        <v>#NAME?</v>
      </c>
      <c r="G134" s="128" t="str">
        <f t="shared" si="21"/>
        <v/>
      </c>
      <c r="H134" s="128">
        <f t="shared" si="22"/>
        <v>0</v>
      </c>
      <c r="I134" s="128">
        <f t="shared" si="23"/>
        <v>0</v>
      </c>
      <c r="J134" s="128">
        <f t="shared" si="24"/>
        <v>0</v>
      </c>
      <c r="K134" s="128">
        <f t="shared" si="25"/>
        <v>0</v>
      </c>
      <c r="L134" s="128">
        <f t="shared" si="26"/>
        <v>0</v>
      </c>
      <c r="M134" s="128">
        <f t="shared" si="27"/>
        <v>0</v>
      </c>
      <c r="N134" s="128">
        <f t="shared" si="28"/>
        <v>0</v>
      </c>
    </row>
    <row r="135" spans="3:23">
      <c r="G135" s="128" t="str">
        <f t="shared" si="21"/>
        <v/>
      </c>
      <c r="H135" s="128">
        <f t="shared" si="22"/>
        <v>0</v>
      </c>
      <c r="I135" s="128">
        <f t="shared" si="23"/>
        <v>0</v>
      </c>
      <c r="J135" s="128">
        <f t="shared" si="24"/>
        <v>0</v>
      </c>
      <c r="K135" s="128">
        <f t="shared" si="25"/>
        <v>0</v>
      </c>
      <c r="L135" s="128">
        <f t="shared" si="26"/>
        <v>0</v>
      </c>
      <c r="M135" s="128">
        <f t="shared" si="27"/>
        <v>0</v>
      </c>
      <c r="N135" s="128">
        <f t="shared" si="28"/>
        <v>0</v>
      </c>
    </row>
    <row r="136" spans="3:23">
      <c r="G136" s="128" t="str">
        <f t="shared" si="21"/>
        <v/>
      </c>
      <c r="H136" s="128">
        <f t="shared" si="22"/>
        <v>0</v>
      </c>
      <c r="I136" s="128">
        <f t="shared" si="23"/>
        <v>0</v>
      </c>
      <c r="J136" s="128">
        <f t="shared" si="24"/>
        <v>0</v>
      </c>
      <c r="K136" s="128">
        <f t="shared" si="25"/>
        <v>0</v>
      </c>
      <c r="L136" s="128">
        <f t="shared" si="26"/>
        <v>0</v>
      </c>
      <c r="M136" s="128">
        <f t="shared" si="27"/>
        <v>0</v>
      </c>
      <c r="N136" s="128">
        <f t="shared" si="28"/>
        <v>0</v>
      </c>
    </row>
    <row r="137" spans="3:23">
      <c r="G137" s="128" t="str">
        <f t="shared" si="21"/>
        <v/>
      </c>
      <c r="H137" s="128">
        <f t="shared" si="22"/>
        <v>0</v>
      </c>
      <c r="I137" s="128">
        <f t="shared" si="23"/>
        <v>0</v>
      </c>
      <c r="J137" s="128">
        <f t="shared" si="24"/>
        <v>0</v>
      </c>
      <c r="K137" s="128">
        <f t="shared" si="25"/>
        <v>0</v>
      </c>
      <c r="L137" s="128">
        <f t="shared" si="26"/>
        <v>0</v>
      </c>
      <c r="M137" s="128">
        <f t="shared" si="27"/>
        <v>0</v>
      </c>
      <c r="N137" s="128">
        <f t="shared" si="28"/>
        <v>0</v>
      </c>
    </row>
    <row r="138" spans="3:23" ht="15" customHeight="1">
      <c r="C138" s="182" t="s">
        <v>84</v>
      </c>
      <c r="D138" s="182"/>
      <c r="E138" s="182"/>
      <c r="F138" s="182"/>
      <c r="G138" s="128" t="str">
        <f t="shared" si="21"/>
        <v/>
      </c>
      <c r="H138" s="128">
        <f t="shared" si="22"/>
        <v>0</v>
      </c>
      <c r="I138" s="128">
        <f t="shared" si="23"/>
        <v>0</v>
      </c>
      <c r="J138" s="128">
        <f t="shared" si="24"/>
        <v>0</v>
      </c>
      <c r="K138" s="128">
        <f t="shared" si="25"/>
        <v>0</v>
      </c>
      <c r="L138" s="128">
        <f t="shared" si="26"/>
        <v>0</v>
      </c>
      <c r="M138" s="128">
        <f t="shared" si="27"/>
        <v>0</v>
      </c>
      <c r="N138" s="128">
        <f t="shared" si="28"/>
        <v>0</v>
      </c>
    </row>
    <row r="139" spans="3:23">
      <c r="C139" s="182"/>
      <c r="D139" s="182"/>
      <c r="E139" s="182"/>
      <c r="F139" s="182"/>
      <c r="G139" s="128" t="str">
        <f t="shared" si="21"/>
        <v/>
      </c>
      <c r="H139" s="128">
        <f t="shared" si="22"/>
        <v>0</v>
      </c>
      <c r="I139" s="128">
        <f t="shared" si="23"/>
        <v>0</v>
      </c>
      <c r="J139" s="128">
        <f t="shared" si="24"/>
        <v>0</v>
      </c>
      <c r="K139" s="128">
        <f t="shared" si="25"/>
        <v>0</v>
      </c>
      <c r="L139" s="128">
        <f t="shared" si="26"/>
        <v>0</v>
      </c>
      <c r="M139" s="128">
        <f t="shared" si="27"/>
        <v>0</v>
      </c>
      <c r="N139" s="128">
        <f t="shared" si="28"/>
        <v>0</v>
      </c>
    </row>
    <row r="140" spans="3:23">
      <c r="C140" s="182"/>
      <c r="D140" s="182"/>
      <c r="E140" s="182"/>
      <c r="F140" s="182"/>
      <c r="G140" s="128" t="str">
        <f t="shared" si="21"/>
        <v/>
      </c>
      <c r="H140" s="128">
        <f t="shared" si="22"/>
        <v>0</v>
      </c>
      <c r="I140" s="128">
        <f t="shared" si="23"/>
        <v>0</v>
      </c>
      <c r="J140" s="128">
        <f t="shared" si="24"/>
        <v>0</v>
      </c>
      <c r="K140" s="128">
        <f t="shared" si="25"/>
        <v>0</v>
      </c>
      <c r="L140" s="128">
        <f t="shared" si="26"/>
        <v>0</v>
      </c>
      <c r="M140" s="128">
        <f t="shared" si="27"/>
        <v>0</v>
      </c>
      <c r="N140" s="128">
        <f t="shared" si="28"/>
        <v>0</v>
      </c>
      <c r="S140" s="15" t="s">
        <v>75</v>
      </c>
    </row>
    <row r="141" spans="3:23">
      <c r="C141" s="130"/>
      <c r="D141" s="130"/>
      <c r="E141" s="130"/>
      <c r="F141" s="130"/>
      <c r="G141" s="128" t="str">
        <f t="shared" si="21"/>
        <v/>
      </c>
      <c r="H141" s="128">
        <f t="shared" si="22"/>
        <v>0</v>
      </c>
      <c r="I141" s="128">
        <f t="shared" si="23"/>
        <v>0</v>
      </c>
      <c r="J141" s="128">
        <f t="shared" si="24"/>
        <v>0</v>
      </c>
      <c r="K141" s="128">
        <f t="shared" si="25"/>
        <v>0</v>
      </c>
      <c r="L141" s="128">
        <f t="shared" si="26"/>
        <v>0</v>
      </c>
      <c r="M141" s="128">
        <f t="shared" si="27"/>
        <v>0</v>
      </c>
      <c r="N141" s="128">
        <f t="shared" si="28"/>
        <v>0</v>
      </c>
      <c r="S141" s="15" t="s">
        <v>76</v>
      </c>
      <c r="V141" s="179" t="str">
        <f>G11</f>
        <v>LEONE Luca</v>
      </c>
      <c r="W141" s="179"/>
    </row>
    <row r="142" spans="3:23">
      <c r="C142" s="130"/>
      <c r="D142" s="130"/>
      <c r="E142" s="130"/>
      <c r="F142" s="130"/>
      <c r="G142" s="128" t="str">
        <f t="shared" si="21"/>
        <v/>
      </c>
      <c r="H142" s="128">
        <f t="shared" si="22"/>
        <v>0</v>
      </c>
      <c r="I142" s="128">
        <f t="shared" si="23"/>
        <v>0</v>
      </c>
      <c r="J142" s="128">
        <f t="shared" si="24"/>
        <v>0</v>
      </c>
      <c r="K142" s="128">
        <f t="shared" si="25"/>
        <v>0</v>
      </c>
      <c r="L142" s="128">
        <f t="shared" si="26"/>
        <v>0</v>
      </c>
      <c r="M142" s="128">
        <f t="shared" si="27"/>
        <v>0</v>
      </c>
      <c r="N142" s="128">
        <f t="shared" si="28"/>
        <v>0</v>
      </c>
    </row>
    <row r="143" spans="3:23">
      <c r="G143" s="128" t="str">
        <f t="shared" si="21"/>
        <v/>
      </c>
      <c r="H143" s="128">
        <f t="shared" si="22"/>
        <v>0</v>
      </c>
      <c r="I143" s="128">
        <f t="shared" si="23"/>
        <v>0</v>
      </c>
      <c r="J143" s="128">
        <f t="shared" si="24"/>
        <v>0</v>
      </c>
      <c r="K143" s="128">
        <f t="shared" si="25"/>
        <v>0</v>
      </c>
      <c r="L143" s="128">
        <f t="shared" si="26"/>
        <v>0</v>
      </c>
      <c r="M143" s="128">
        <f t="shared" si="27"/>
        <v>0</v>
      </c>
      <c r="N143" s="128">
        <f t="shared" si="28"/>
        <v>0</v>
      </c>
      <c r="S143" s="15" t="s">
        <v>77</v>
      </c>
    </row>
    <row r="144" spans="3:23">
      <c r="G144" s="128" t="str">
        <f t="shared" si="21"/>
        <v/>
      </c>
      <c r="H144" s="128">
        <f t="shared" si="22"/>
        <v>0</v>
      </c>
      <c r="I144" s="128">
        <f t="shared" si="23"/>
        <v>0</v>
      </c>
      <c r="J144" s="128">
        <f t="shared" si="24"/>
        <v>0</v>
      </c>
      <c r="K144" s="128">
        <f t="shared" si="25"/>
        <v>0</v>
      </c>
      <c r="L144" s="128">
        <f t="shared" si="26"/>
        <v>0</v>
      </c>
      <c r="M144" s="128">
        <f t="shared" si="27"/>
        <v>0</v>
      </c>
      <c r="N144" s="128">
        <f t="shared" si="28"/>
        <v>0</v>
      </c>
    </row>
    <row r="145" spans="3:16">
      <c r="G145" s="128" t="str">
        <f t="shared" si="21"/>
        <v/>
      </c>
      <c r="H145" s="128">
        <f t="shared" si="22"/>
        <v>0</v>
      </c>
      <c r="I145" s="128">
        <f t="shared" si="23"/>
        <v>0</v>
      </c>
      <c r="J145" s="128">
        <f t="shared" si="24"/>
        <v>0</v>
      </c>
      <c r="K145" s="128">
        <f t="shared" si="25"/>
        <v>0</v>
      </c>
      <c r="L145" s="128">
        <f t="shared" si="26"/>
        <v>0</v>
      </c>
      <c r="M145" s="128">
        <f t="shared" si="27"/>
        <v>0</v>
      </c>
      <c r="N145" s="128">
        <f t="shared" si="28"/>
        <v>0</v>
      </c>
    </row>
    <row r="146" spans="3:16">
      <c r="G146" s="128" t="str">
        <f>C119</f>
        <v xml:space="preserve">TOTALE </v>
      </c>
      <c r="H146" s="128" t="e">
        <f t="shared" ref="H146:N146" ca="1" si="29">SUM(H130:H145)</f>
        <v>#NAME?</v>
      </c>
      <c r="I146" s="128" t="e">
        <f t="shared" ca="1" si="29"/>
        <v>#NAME?</v>
      </c>
      <c r="J146" s="128" t="e">
        <f t="shared" ca="1" si="29"/>
        <v>#NAME?</v>
      </c>
      <c r="K146" s="128" t="e">
        <f t="shared" ca="1" si="29"/>
        <v>#NAME?</v>
      </c>
      <c r="L146" s="128" t="e">
        <f t="shared" ca="1" si="29"/>
        <v>#NAME?</v>
      </c>
      <c r="M146" s="128" t="e">
        <f t="shared" ca="1" si="29"/>
        <v>#NAME?</v>
      </c>
      <c r="N146" s="128" t="e">
        <f t="shared" ca="1" si="29"/>
        <v>#NAME?</v>
      </c>
    </row>
    <row r="147" spans="3:16">
      <c r="G147" s="131"/>
      <c r="H147" s="131"/>
      <c r="I147" s="131"/>
      <c r="J147" s="131"/>
      <c r="K147" s="131"/>
      <c r="L147" s="131"/>
      <c r="M147" s="131"/>
      <c r="N147" s="131"/>
      <c r="O147" s="131"/>
      <c r="P147" s="131"/>
    </row>
    <row r="148" spans="3:16">
      <c r="G148" s="131"/>
      <c r="H148" s="131"/>
      <c r="I148" s="131"/>
      <c r="J148" s="131"/>
      <c r="K148" s="131"/>
      <c r="L148" s="131"/>
      <c r="M148" s="131"/>
      <c r="N148" s="131"/>
      <c r="O148" s="131"/>
      <c r="P148" s="131"/>
    </row>
    <row r="150" spans="3:16">
      <c r="C150" s="20" t="s">
        <v>79</v>
      </c>
      <c r="D150" s="180" t="str">
        <f>D126</f>
        <v>MANUTENZIONE IMPIANTO DI VIDEOSORVEGLIANZA E VARCHI TARGA</v>
      </c>
      <c r="E150" s="180"/>
      <c r="F150" s="180"/>
      <c r="G150" s="180"/>
      <c r="H150" s="180"/>
      <c r="I150" s="180"/>
      <c r="J150" s="180"/>
      <c r="K150" s="180"/>
      <c r="L150" s="180"/>
      <c r="M150" s="180"/>
      <c r="N150" s="180"/>
      <c r="O150" s="180"/>
      <c r="P150" s="180"/>
    </row>
    <row r="151" spans="3:16">
      <c r="C151" s="20" t="s">
        <v>2</v>
      </c>
      <c r="D151" s="95" t="str">
        <f>D127</f>
        <v>---</v>
      </c>
    </row>
    <row r="152" spans="3:16">
      <c r="C152" s="20" t="s">
        <v>4</v>
      </c>
      <c r="D152" s="20" t="str">
        <f>D128</f>
        <v>BCC8268AAD</v>
      </c>
    </row>
    <row r="153" spans="3:16">
      <c r="G153" s="132" t="s">
        <v>7</v>
      </c>
      <c r="H153" s="101" t="s">
        <v>72</v>
      </c>
      <c r="I153" s="127" t="s">
        <v>73</v>
      </c>
      <c r="J153" s="127" t="s">
        <v>59</v>
      </c>
      <c r="K153" s="127" t="s">
        <v>61</v>
      </c>
      <c r="L153" s="127" t="s">
        <v>80</v>
      </c>
      <c r="M153" s="112" t="s">
        <v>74</v>
      </c>
    </row>
    <row r="154" spans="3:16">
      <c r="C154" s="183" t="s">
        <v>81</v>
      </c>
      <c r="D154" s="183"/>
      <c r="E154" s="133">
        <f>+E132</f>
        <v>308.06556623999995</v>
      </c>
      <c r="G154" s="128" t="str">
        <f t="shared" ref="G154:G170" si="30">C103</f>
        <v>LEONE Luca</v>
      </c>
      <c r="H154" s="128" t="e">
        <f t="shared" ref="H154:H169" ca="1" si="31">F103</f>
        <v>#NAME?</v>
      </c>
      <c r="I154" s="128" t="e">
        <f t="shared" ref="I154:I169" ca="1" si="32">H154</f>
        <v>#NAME?</v>
      </c>
      <c r="J154" s="128" t="e">
        <f t="shared" ref="J154:J169" ca="1" si="33">SUMIF($D$78:$D$98,G154,$G$78:$G$98)</f>
        <v>#NAME?</v>
      </c>
      <c r="K154" s="128" t="e">
        <f t="shared" ref="K154:K169" ca="1" si="34">SUMIF($D$78:$D$98,G154,$I$78:$I$98)</f>
        <v>#NAME?</v>
      </c>
      <c r="L154" s="128" t="e">
        <f t="shared" ref="L154:L169" ca="1" si="35">SUMIF($D$79:$D$98,G154,$J$79:$J$98)</f>
        <v>#NAME?</v>
      </c>
      <c r="M154" s="128" t="e">
        <f t="shared" ref="M154:M169" ca="1" si="36">SUMIF($D$78:$D$98,G154,$H$78:$H$98)</f>
        <v>#NAME?</v>
      </c>
    </row>
    <row r="155" spans="3:16">
      <c r="C155" s="183" t="s">
        <v>82</v>
      </c>
      <c r="D155" s="183"/>
      <c r="E155" s="133">
        <f>+E133</f>
        <v>1167.3442337600002</v>
      </c>
      <c r="G155" s="128" t="str">
        <f t="shared" si="30"/>
        <v>TROIANI Claudia</v>
      </c>
      <c r="H155" s="128" t="e">
        <f t="shared" ca="1" si="31"/>
        <v>#NAME?</v>
      </c>
      <c r="I155" s="128" t="e">
        <f t="shared" ca="1" si="32"/>
        <v>#NAME?</v>
      </c>
      <c r="J155" s="128" t="e">
        <f t="shared" ca="1" si="33"/>
        <v>#NAME?</v>
      </c>
      <c r="K155" s="128" t="e">
        <f t="shared" ca="1" si="34"/>
        <v>#NAME?</v>
      </c>
      <c r="L155" s="128" t="e">
        <f t="shared" ca="1" si="35"/>
        <v>#NAME?</v>
      </c>
      <c r="M155" s="128" t="e">
        <f t="shared" ca="1" si="36"/>
        <v>#NAME?</v>
      </c>
    </row>
    <row r="156" spans="3:16">
      <c r="C156" s="134" t="s">
        <v>83</v>
      </c>
      <c r="D156" s="134"/>
      <c r="E156" s="133" t="e">
        <f ca="1">+E134</f>
        <v>#NAME?</v>
      </c>
      <c r="G156" s="128" t="str">
        <f t="shared" si="30"/>
        <v>-</v>
      </c>
      <c r="H156" s="128" t="e">
        <f t="shared" ca="1" si="31"/>
        <v>#NAME?</v>
      </c>
      <c r="I156" s="128" t="e">
        <f t="shared" ca="1" si="32"/>
        <v>#NAME?</v>
      </c>
      <c r="J156" s="128" t="e">
        <f t="shared" ca="1" si="33"/>
        <v>#NAME?</v>
      </c>
      <c r="K156" s="128" t="e">
        <f t="shared" ca="1" si="34"/>
        <v>#NAME?</v>
      </c>
      <c r="L156" s="128" t="e">
        <f t="shared" ca="1" si="35"/>
        <v>#NAME?</v>
      </c>
      <c r="M156" s="128" t="e">
        <f t="shared" ca="1" si="36"/>
        <v>#NAME?</v>
      </c>
    </row>
    <row r="157" spans="3:16">
      <c r="C157" s="134" t="s">
        <v>85</v>
      </c>
      <c r="D157" s="134"/>
      <c r="E157" s="133" t="e">
        <f ca="1">E155-E156</f>
        <v>#NAME?</v>
      </c>
      <c r="G157" s="128" t="str">
        <f t="shared" si="30"/>
        <v>GIUSTINO Andrea</v>
      </c>
      <c r="H157" s="128" t="e">
        <f t="shared" ca="1" si="31"/>
        <v>#NAME?</v>
      </c>
      <c r="I157" s="128" t="e">
        <f t="shared" ca="1" si="32"/>
        <v>#NAME?</v>
      </c>
      <c r="J157" s="128" t="e">
        <f t="shared" ca="1" si="33"/>
        <v>#NAME?</v>
      </c>
      <c r="K157" s="128" t="e">
        <f t="shared" ca="1" si="34"/>
        <v>#NAME?</v>
      </c>
      <c r="L157" s="128" t="e">
        <f t="shared" ca="1" si="35"/>
        <v>#NAME?</v>
      </c>
      <c r="M157" s="128" t="e">
        <f t="shared" ca="1" si="36"/>
        <v>#NAME?</v>
      </c>
    </row>
    <row r="158" spans="3:16">
      <c r="G158" s="128" t="str">
        <f t="shared" si="30"/>
        <v/>
      </c>
      <c r="H158" s="128">
        <f t="shared" ca="1" si="31"/>
        <v>0</v>
      </c>
      <c r="I158" s="128">
        <f t="shared" ca="1" si="32"/>
        <v>0</v>
      </c>
      <c r="J158" s="128">
        <f t="shared" si="33"/>
        <v>0</v>
      </c>
      <c r="K158" s="128">
        <f t="shared" si="34"/>
        <v>0</v>
      </c>
      <c r="L158" s="128">
        <f t="shared" si="35"/>
        <v>0</v>
      </c>
      <c r="M158" s="128">
        <f t="shared" si="36"/>
        <v>0</v>
      </c>
    </row>
    <row r="159" spans="3:16">
      <c r="G159" s="128" t="str">
        <f t="shared" si="30"/>
        <v/>
      </c>
      <c r="H159" s="128">
        <f t="shared" ca="1" si="31"/>
        <v>0</v>
      </c>
      <c r="I159" s="128">
        <f t="shared" ca="1" si="32"/>
        <v>0</v>
      </c>
      <c r="J159" s="128">
        <f t="shared" si="33"/>
        <v>0</v>
      </c>
      <c r="K159" s="128">
        <f t="shared" si="34"/>
        <v>0</v>
      </c>
      <c r="L159" s="128">
        <f t="shared" si="35"/>
        <v>0</v>
      </c>
      <c r="M159" s="128">
        <f t="shared" si="36"/>
        <v>0</v>
      </c>
    </row>
    <row r="160" spans="3:16">
      <c r="G160" s="128" t="str">
        <f t="shared" si="30"/>
        <v/>
      </c>
      <c r="H160" s="128">
        <f t="shared" ca="1" si="31"/>
        <v>0</v>
      </c>
      <c r="I160" s="128">
        <f t="shared" ca="1" si="32"/>
        <v>0</v>
      </c>
      <c r="J160" s="128">
        <f t="shared" si="33"/>
        <v>0</v>
      </c>
      <c r="K160" s="128">
        <f t="shared" si="34"/>
        <v>0</v>
      </c>
      <c r="L160" s="128">
        <f t="shared" si="35"/>
        <v>0</v>
      </c>
      <c r="M160" s="128">
        <f t="shared" si="36"/>
        <v>0</v>
      </c>
    </row>
    <row r="161" spans="3:23" ht="15" customHeight="1">
      <c r="C161" s="182" t="s">
        <v>84</v>
      </c>
      <c r="D161" s="182"/>
      <c r="E161" s="182"/>
      <c r="F161" s="182"/>
      <c r="G161" s="128" t="str">
        <f t="shared" si="30"/>
        <v/>
      </c>
      <c r="H161" s="128">
        <f t="shared" ca="1" si="31"/>
        <v>0</v>
      </c>
      <c r="I161" s="128">
        <f t="shared" ca="1" si="32"/>
        <v>0</v>
      </c>
      <c r="J161" s="128">
        <f t="shared" si="33"/>
        <v>0</v>
      </c>
      <c r="K161" s="128">
        <f t="shared" si="34"/>
        <v>0</v>
      </c>
      <c r="L161" s="128">
        <f t="shared" si="35"/>
        <v>0</v>
      </c>
      <c r="M161" s="128">
        <f t="shared" si="36"/>
        <v>0</v>
      </c>
    </row>
    <row r="162" spans="3:23">
      <c r="C162" s="182"/>
      <c r="D162" s="182"/>
      <c r="E162" s="182"/>
      <c r="F162" s="182"/>
      <c r="G162" s="128" t="str">
        <f t="shared" si="30"/>
        <v/>
      </c>
      <c r="H162" s="128">
        <f t="shared" ca="1" si="31"/>
        <v>0</v>
      </c>
      <c r="I162" s="128">
        <f t="shared" ca="1" si="32"/>
        <v>0</v>
      </c>
      <c r="J162" s="128">
        <f t="shared" si="33"/>
        <v>0</v>
      </c>
      <c r="K162" s="128">
        <f t="shared" si="34"/>
        <v>0</v>
      </c>
      <c r="L162" s="128">
        <f t="shared" si="35"/>
        <v>0</v>
      </c>
      <c r="M162" s="128">
        <f t="shared" si="36"/>
        <v>0</v>
      </c>
    </row>
    <row r="163" spans="3:23">
      <c r="C163" s="182"/>
      <c r="D163" s="182"/>
      <c r="E163" s="182"/>
      <c r="F163" s="182"/>
      <c r="G163" s="128" t="str">
        <f t="shared" si="30"/>
        <v/>
      </c>
      <c r="H163" s="128">
        <f t="shared" ca="1" si="31"/>
        <v>0</v>
      </c>
      <c r="I163" s="128">
        <f t="shared" ca="1" si="32"/>
        <v>0</v>
      </c>
      <c r="J163" s="128">
        <f t="shared" si="33"/>
        <v>0</v>
      </c>
      <c r="K163" s="128">
        <f t="shared" si="34"/>
        <v>0</v>
      </c>
      <c r="L163" s="128">
        <f t="shared" si="35"/>
        <v>0</v>
      </c>
      <c r="M163" s="128">
        <f t="shared" si="36"/>
        <v>0</v>
      </c>
      <c r="S163" s="15" t="s">
        <v>75</v>
      </c>
    </row>
    <row r="164" spans="3:23">
      <c r="G164" s="128" t="str">
        <f t="shared" si="30"/>
        <v/>
      </c>
      <c r="H164" s="128">
        <f t="shared" ca="1" si="31"/>
        <v>0</v>
      </c>
      <c r="I164" s="128">
        <f t="shared" ca="1" si="32"/>
        <v>0</v>
      </c>
      <c r="J164" s="128">
        <f t="shared" si="33"/>
        <v>0</v>
      </c>
      <c r="K164" s="128">
        <f t="shared" si="34"/>
        <v>0</v>
      </c>
      <c r="L164" s="128">
        <f t="shared" si="35"/>
        <v>0</v>
      </c>
      <c r="M164" s="128">
        <f t="shared" si="36"/>
        <v>0</v>
      </c>
      <c r="S164" s="15" t="s">
        <v>76</v>
      </c>
      <c r="V164" s="179" t="str">
        <f>V141</f>
        <v>LEONE Luca</v>
      </c>
      <c r="W164" s="179"/>
    </row>
    <row r="165" spans="3:23">
      <c r="G165" s="128" t="str">
        <f t="shared" si="30"/>
        <v/>
      </c>
      <c r="H165" s="128">
        <f t="shared" ca="1" si="31"/>
        <v>0</v>
      </c>
      <c r="I165" s="128">
        <f t="shared" ca="1" si="32"/>
        <v>0</v>
      </c>
      <c r="J165" s="128">
        <f t="shared" si="33"/>
        <v>0</v>
      </c>
      <c r="K165" s="128">
        <f t="shared" si="34"/>
        <v>0</v>
      </c>
      <c r="L165" s="128">
        <f t="shared" si="35"/>
        <v>0</v>
      </c>
      <c r="M165" s="128">
        <f t="shared" si="36"/>
        <v>0</v>
      </c>
    </row>
    <row r="166" spans="3:23">
      <c r="G166" s="128" t="str">
        <f t="shared" si="30"/>
        <v/>
      </c>
      <c r="H166" s="128">
        <f t="shared" ca="1" si="31"/>
        <v>0</v>
      </c>
      <c r="I166" s="128">
        <f t="shared" ca="1" si="32"/>
        <v>0</v>
      </c>
      <c r="J166" s="128">
        <f t="shared" si="33"/>
        <v>0</v>
      </c>
      <c r="K166" s="128">
        <f t="shared" si="34"/>
        <v>0</v>
      </c>
      <c r="L166" s="128">
        <f t="shared" si="35"/>
        <v>0</v>
      </c>
      <c r="M166" s="128">
        <f t="shared" si="36"/>
        <v>0</v>
      </c>
      <c r="S166" s="15" t="s">
        <v>77</v>
      </c>
    </row>
    <row r="167" spans="3:23">
      <c r="G167" s="128" t="str">
        <f t="shared" si="30"/>
        <v/>
      </c>
      <c r="H167" s="128">
        <f t="shared" ca="1" si="31"/>
        <v>0</v>
      </c>
      <c r="I167" s="128">
        <f t="shared" ca="1" si="32"/>
        <v>0</v>
      </c>
      <c r="J167" s="128">
        <f t="shared" si="33"/>
        <v>0</v>
      </c>
      <c r="K167" s="128">
        <f t="shared" si="34"/>
        <v>0</v>
      </c>
      <c r="L167" s="128">
        <f t="shared" si="35"/>
        <v>0</v>
      </c>
      <c r="M167" s="128">
        <f t="shared" si="36"/>
        <v>0</v>
      </c>
    </row>
    <row r="168" spans="3:23">
      <c r="G168" s="128" t="str">
        <f t="shared" si="30"/>
        <v/>
      </c>
      <c r="H168" s="128">
        <f t="shared" ca="1" si="31"/>
        <v>0</v>
      </c>
      <c r="I168" s="128">
        <f t="shared" ca="1" si="32"/>
        <v>0</v>
      </c>
      <c r="J168" s="128">
        <f t="shared" si="33"/>
        <v>0</v>
      </c>
      <c r="K168" s="128">
        <f t="shared" si="34"/>
        <v>0</v>
      </c>
      <c r="L168" s="128">
        <f t="shared" si="35"/>
        <v>0</v>
      </c>
      <c r="M168" s="128">
        <f t="shared" si="36"/>
        <v>0</v>
      </c>
    </row>
    <row r="169" spans="3:23">
      <c r="G169" s="128" t="str">
        <f t="shared" si="30"/>
        <v/>
      </c>
      <c r="H169" s="128">
        <f t="shared" ca="1" si="31"/>
        <v>0</v>
      </c>
      <c r="I169" s="128">
        <f t="shared" ca="1" si="32"/>
        <v>0</v>
      </c>
      <c r="J169" s="128">
        <f t="shared" si="33"/>
        <v>0</v>
      </c>
      <c r="K169" s="128">
        <f t="shared" si="34"/>
        <v>0</v>
      </c>
      <c r="L169" s="128">
        <f t="shared" si="35"/>
        <v>0</v>
      </c>
      <c r="M169" s="128">
        <f t="shared" si="36"/>
        <v>0</v>
      </c>
    </row>
    <row r="170" spans="3:23">
      <c r="G170" s="128" t="str">
        <f t="shared" si="30"/>
        <v xml:space="preserve">TOTALE </v>
      </c>
      <c r="H170" s="128"/>
      <c r="I170" s="128" t="e">
        <f ca="1">SUM(I154:I169)</f>
        <v>#NAME?</v>
      </c>
      <c r="J170" s="128" t="e">
        <f ca="1">SUM(J154:J169)</f>
        <v>#NAME?</v>
      </c>
      <c r="K170" s="128" t="e">
        <f ca="1">SUM(K154:K169)</f>
        <v>#NAME?</v>
      </c>
      <c r="L170" s="128" t="e">
        <f ca="1">SUM(L154:L169)</f>
        <v>#NAME?</v>
      </c>
      <c r="M170" s="128" t="e">
        <f ca="1">SUM(M154:M169)</f>
        <v>#NAME?</v>
      </c>
    </row>
  </sheetData>
  <mergeCells count="64">
    <mergeCell ref="C154:D154"/>
    <mergeCell ref="C155:D155"/>
    <mergeCell ref="C161:F163"/>
    <mergeCell ref="V164:W164"/>
    <mergeCell ref="C132:D132"/>
    <mergeCell ref="C133:D133"/>
    <mergeCell ref="C138:F140"/>
    <mergeCell ref="V141:W141"/>
    <mergeCell ref="D150:P150"/>
    <mergeCell ref="E92:E95"/>
    <mergeCell ref="C96:C98"/>
    <mergeCell ref="E96:E98"/>
    <mergeCell ref="V110:W110"/>
    <mergeCell ref="D126:P126"/>
    <mergeCell ref="C77:J77"/>
    <mergeCell ref="C83:C85"/>
    <mergeCell ref="E83:E84"/>
    <mergeCell ref="C87:C91"/>
    <mergeCell ref="E87:E91"/>
    <mergeCell ref="C64:C68"/>
    <mergeCell ref="E64:E68"/>
    <mergeCell ref="E69:E72"/>
    <mergeCell ref="C73:C75"/>
    <mergeCell ref="E73:E75"/>
    <mergeCell ref="E46:E49"/>
    <mergeCell ref="C50:C52"/>
    <mergeCell ref="E50:E52"/>
    <mergeCell ref="C54:J54"/>
    <mergeCell ref="C60:C62"/>
    <mergeCell ref="E60:E62"/>
    <mergeCell ref="C31:J31"/>
    <mergeCell ref="E33:E35"/>
    <mergeCell ref="C37:C39"/>
    <mergeCell ref="E37:E39"/>
    <mergeCell ref="C41:C45"/>
    <mergeCell ref="E41:E45"/>
    <mergeCell ref="O20:P20"/>
    <mergeCell ref="C21:E21"/>
    <mergeCell ref="M21:R21"/>
    <mergeCell ref="M22:R26"/>
    <mergeCell ref="C23:E23"/>
    <mergeCell ref="C25:E27"/>
    <mergeCell ref="F25:F27"/>
    <mergeCell ref="S9:V9"/>
    <mergeCell ref="S10:V13"/>
    <mergeCell ref="C11:C12"/>
    <mergeCell ref="D11:D12"/>
    <mergeCell ref="F12:F14"/>
    <mergeCell ref="C14:C16"/>
    <mergeCell ref="D14:D16"/>
    <mergeCell ref="N14:O14"/>
    <mergeCell ref="P14:Q14"/>
    <mergeCell ref="S14:V14"/>
    <mergeCell ref="F16:F20"/>
    <mergeCell ref="M18:R18"/>
    <mergeCell ref="M19:N19"/>
    <mergeCell ref="O19:P19"/>
    <mergeCell ref="T19:W26"/>
    <mergeCell ref="M20:N20"/>
    <mergeCell ref="D3:N3"/>
    <mergeCell ref="D4:E4"/>
    <mergeCell ref="D5:E5"/>
    <mergeCell ref="M7:W7"/>
    <mergeCell ref="S8:V8"/>
  </mergeCells>
  <conditionalFormatting sqref="H9">
    <cfRule type="cellIs" dxfId="42" priority="2" operator="notBetween">
      <formula>0</formula>
      <formula>30</formula>
    </cfRule>
  </conditionalFormatting>
  <conditionalFormatting sqref="R20">
    <cfRule type="cellIs" dxfId="41" priority="3" operator="lessThan">
      <formula>0</formula>
    </cfRule>
    <cfRule type="cellIs" dxfId="40" priority="4" operator="greaterThan">
      <formula>0</formula>
    </cfRule>
  </conditionalFormatting>
  <conditionalFormatting sqref="R11">
    <cfRule type="cellIs" dxfId="39" priority="5" operator="lessThan">
      <formula>0</formula>
    </cfRule>
    <cfRule type="cellIs" dxfId="38" priority="6" operator="greaterThan">
      <formula>0</formula>
    </cfRule>
  </conditionalFormatting>
  <conditionalFormatting sqref="R13:R14">
    <cfRule type="cellIs" dxfId="37" priority="7" operator="lessThan">
      <formula>0</formula>
    </cfRule>
    <cfRule type="cellIs" dxfId="36" priority="8" operator="greaterThan">
      <formula>0</formula>
    </cfRule>
  </conditionalFormatting>
  <conditionalFormatting sqref="R9">
    <cfRule type="cellIs" dxfId="35" priority="9" operator="lessThan">
      <formula>0</formula>
    </cfRule>
    <cfRule type="cellIs" dxfId="34" priority="10" operator="greaterThan">
      <formula>0</formula>
    </cfRule>
  </conditionalFormatting>
  <conditionalFormatting sqref="R14">
    <cfRule type="cellIs" dxfId="33" priority="11" operator="greaterThan">
      <formula>1</formula>
    </cfRule>
    <cfRule type="cellIs" dxfId="32" priority="12" operator="greaterThan">
      <formula>100</formula>
    </cfRule>
    <cfRule type="cellIs" dxfId="31" priority="13" operator="greaterThan">
      <formula>100</formula>
    </cfRule>
    <cfRule type="cellIs" dxfId="30" priority="14" operator="lessThan">
      <formula>100</formula>
    </cfRule>
    <cfRule type="cellIs" dxfId="29" priority="15" operator="greaterThan">
      <formula>100</formula>
    </cfRule>
    <cfRule type="cellIs" dxfId="28" priority="16" operator="lessThan">
      <formula>0</formula>
    </cfRule>
    <cfRule type="cellIs" dxfId="27" priority="17" operator="lessThan">
      <formula>0</formula>
    </cfRule>
    <cfRule type="cellIs" dxfId="26" priority="18" operator="lessThan">
      <formula>0</formula>
    </cfRule>
    <cfRule type="cellIs" dxfId="25" priority="19" operator="greaterThan">
      <formula>0</formula>
    </cfRule>
  </conditionalFormatting>
  <dataValidations count="3">
    <dataValidation type="list" allowBlank="1" showInputMessage="1" showErrorMessage="1" sqref="W9 W11 W13">
      <formula1>$X$9:$X$12</formula1>
      <formula2>0</formula2>
    </dataValidation>
    <dataValidation type="decimal" allowBlank="1" showInputMessage="1" showErrorMessage="1" sqref="H8">
      <formula1>0</formula1>
      <formula2>30</formula2>
    </dataValidation>
    <dataValidation type="list" allowBlank="1" showInputMessage="1" showErrorMessage="1" sqref="G22:G24">
      <formula1>$B$2:$B$40</formula1>
      <formula2>0</formula2>
    </dataValidation>
  </dataValidations>
  <pageMargins left="0.196527777777778" right="0.196527777777778" top="0.196527777777778" bottom="0.196527777777778" header="0.511811023622047" footer="0.511811023622047"/>
  <pageSetup paperSize="8" scale="52" orientation="landscape" horizontalDpi="300" verticalDpi="30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B0FF4573-EC91-4141-AB50-90EFD0C33B24}">
            <xm:f>NOT(ISERROR(SEARCH(NOMINATIVI!$H$29,J9)))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21" operator="containsText" id="{DECAFBC3-4C2A-4386-BDE2-15DDE8E6446E}">
            <xm:f>NOT(ISERROR(SEARCH(NOMINATIVI!$H$28,J9)))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J9 J23</xm:sqref>
        </x14:conditionalFormatting>
        <x14:conditionalFormatting xmlns:xm="http://schemas.microsoft.com/office/excel/2006/main">
          <x14:cfRule type="containsText" priority="22" operator="containsText" id="{7DBD5C7C-AAC8-4CB6-A450-9C5264213157}">
            <xm:f>NOT(ISERROR(SEARCH(NOMINATIVI!$H$29,J10)))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23" operator="containsText" id="{3F2C8DB0-4996-4EEB-88D5-E5CD1BF48A9A}">
            <xm:f>NOT(ISERROR(SEARCH(NOMINATIVI!$H$28,J10)))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ontainsText" priority="24" operator="containsText" id="{418E7255-2074-4A6E-BB5A-11B6F2339435}">
            <xm:f>NOT(ISERROR(SEARCH(NOMINATIVI!$H$29,J13)))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25" operator="containsText" id="{80F15D42-1039-4E29-AB85-313840185928}">
            <xm:f>NOT(ISERROR(SEARCH(NOMINATIVI!$H$28,J13)))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J13:J14</xm:sqref>
        </x14:conditionalFormatting>
        <x14:conditionalFormatting xmlns:xm="http://schemas.microsoft.com/office/excel/2006/main">
          <x14:cfRule type="containsText" priority="26" operator="containsText" id="{9E6E7FEB-98A9-40AB-AB15-9B282BAE15D4}">
            <xm:f>NOT(ISERROR(SEARCH(NOMINATIVI!$H$29,J24)))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27" operator="containsText" id="{50761696-DF5F-40AD-86F3-A78563E618B0}">
            <xm:f>NOT(ISERROR(SEARCH(NOMINATIVI!$H$28,J24)))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J24</xm:sqref>
        </x14:conditionalFormatting>
        <x14:conditionalFormatting xmlns:xm="http://schemas.microsoft.com/office/excel/2006/main">
          <x14:cfRule type="containsText" priority="28" operator="containsText" id="{FE6047A0-42D6-4CA4-86E3-77EE91E346E7}">
            <xm:f>NOT(ISERROR(SEARCH(NOMINATIVI!$H$29,J26)))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29" operator="containsText" id="{282C10A8-83DB-4492-8AC0-A79CEB4087CD}">
            <xm:f>NOT(ISERROR(SEARCH(NOMINATIVI!$H$28,J26)))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J26:J27</xm:sqref>
        </x14:conditionalFormatting>
        <x14:conditionalFormatting xmlns:xm="http://schemas.microsoft.com/office/excel/2006/main">
          <x14:cfRule type="containsText" priority="30" operator="containsText" id="{B7BD918C-CD8C-4714-843D-3B9076418E8C}">
            <xm:f>NOT(ISERROR(SEARCH(NOMINATIVI!$H$29,J8)))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31" operator="containsText" id="{9C2DD044-883C-4BF9-A992-B5DF417FDBE6}">
            <xm:f>NOT(ISERROR(SEARCH(NOMINATIVI!$H$28,J8)))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32" operator="containsText" id="{E9CAA6F9-3547-45ED-8FCB-DC39944DC34B}">
            <xm:f>NOT(ISERROR(SEARCH(NOMINATIVI!$H$29,J12)))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33" operator="containsText" id="{63F43293-CECA-436C-805A-65EC9F7D8135}">
            <xm:f>NOT(ISERROR(SEARCH(NOMINATIVI!$H$28,J12)))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containsText" priority="34" operator="containsText" id="{8E966CF2-2D36-41A3-8F4F-BF91C8D69FA4}">
            <xm:f>NOT(ISERROR(SEARCH(NOMINATIVI!$H$29,J21)))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94228370-12C0-48CF-A7B6-D238F417F787}">
            <xm:f>NOT(ISERROR(SEARCH(NOMINATIVI!$H$28,J21)))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J21:J22</xm:sqref>
        </x14:conditionalFormatting>
        <x14:conditionalFormatting xmlns:xm="http://schemas.microsoft.com/office/excel/2006/main">
          <x14:cfRule type="containsText" priority="36" operator="containsText" id="{BC6BAEE6-C6AB-471F-8C67-35648B53302F}">
            <xm:f>NOT(ISERROR(SEARCH(NOMINATIVI!$H$29,J25)))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37" operator="containsText" id="{50C5E949-777B-45D6-B23A-B8C52A129630}">
            <xm:f>NOT(ISERROR(SEARCH(NOMINATIVI!$H$28,J25)))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J25</xm:sqref>
        </x14:conditionalFormatting>
        <x14:conditionalFormatting xmlns:xm="http://schemas.microsoft.com/office/excel/2006/main">
          <x14:cfRule type="containsText" priority="38" operator="containsText" id="{CA1847AF-6726-408C-B34C-FDE7E94DA6F0}">
            <xm:f>NOT(ISERROR(SEARCH(NOMINATIVI!$E$4,D18)))</xm:f>
            <xm:f>NOMINATIVI!$E$4</xm:f>
            <x14:dxf>
              <fill>
                <patternFill>
                  <bgColor rgb="FFED7D31"/>
                </patternFill>
              </fill>
            </x14:dxf>
          </x14:cfRule>
          <x14:cfRule type="containsText" priority="39" operator="containsText" id="{3B2340BD-728F-429A-92B8-8FF023F5E43D}">
            <xm:f>NOT(ISERROR(SEARCH(NOMINATIVI!$E$3,D18)))</xm:f>
            <xm:f>NOMINATIVI!$E$3</xm:f>
            <x14:dxf>
              <fill>
                <patternFill>
                  <bgColor rgb="FF92D050"/>
                </patternFill>
              </fill>
            </x14:dxf>
          </x14:cfRule>
          <xm:sqref>D18</xm:sqref>
        </x14:conditionalFormatting>
        <x14:conditionalFormatting xmlns:xm="http://schemas.microsoft.com/office/excel/2006/main">
          <x14:cfRule type="containsText" priority="40" operator="containsText" id="{E6BDAA75-1A59-476A-9778-54938160C9EC}">
            <xm:f>NOT(ISERROR(SEARCH(NOMINATIVI!$H$29,J20)))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41" operator="containsText" id="{9486D34B-509E-4370-A3E1-6DADD51BE5B7}">
            <xm:f>NOT(ISERROR(SEARCH(NOMINATIVI!$H$28,J20)))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J20</xm:sqref>
        </x14:conditionalFormatting>
        <x14:conditionalFormatting xmlns:xm="http://schemas.microsoft.com/office/excel/2006/main">
          <x14:cfRule type="containsText" priority="42" operator="containsText" id="{E3E93A8D-B23C-4BDE-9054-5086B0E6CEFA}">
            <xm:f>NOT(ISERROR(SEARCH(NOMINATIVI!$H$29,J18)))</xm:f>
            <xm:f>NOMINATIVI!$H$29</xm:f>
            <x14:dxf>
              <fill>
                <patternFill>
                  <bgColor rgb="FFFF0000"/>
                </patternFill>
              </fill>
            </x14:dxf>
          </x14:cfRule>
          <x14:cfRule type="containsText" priority="43" operator="containsText" id="{9C648C87-A6AD-44A0-8CCD-EFF73438E3C4}">
            <xm:f>NOT(ISERROR(SEARCH(NOMINATIVI!$H$28,J18)))</xm:f>
            <xm:f>NOMINATIVI!$H$28</xm:f>
            <x14:dxf>
              <fill>
                <patternFill>
                  <bgColor rgb="FF92D050"/>
                </patternFill>
              </fill>
            </x14:dxf>
          </x14:cfRule>
          <xm:sqref>J18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NOMINATIVI!$B$2:$B$39</xm:f>
          </x14:formula1>
          <x14:formula2>
            <xm:f>0</xm:f>
          </x14:formula2>
          <xm:sqref>G8:G14 G16:G21 G25:G27</xm:sqref>
        </x14:dataValidation>
        <x14:dataValidation type="list" allowBlank="1" showInputMessage="1" showErrorMessage="1">
          <x14:formula1>
            <xm:f>NOMINATIVI!$E$3:$E$4</xm:f>
          </x14:formula1>
          <x14:formula2>
            <xm:f>0</xm:f>
          </x14:formula2>
          <xm:sqref>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52"/>
  <sheetViews>
    <sheetView view="pageBreakPreview" zoomScaleNormal="100" workbookViewId="0">
      <selection activeCell="B6" sqref="B6"/>
    </sheetView>
  </sheetViews>
  <sheetFormatPr defaultColWidth="8.7109375" defaultRowHeight="15"/>
  <cols>
    <col min="2" max="2" width="28.42578125" style="15" customWidth="1"/>
    <col min="5" max="5" width="20.5703125" style="15" customWidth="1"/>
    <col min="8" max="8" width="20.85546875" style="15" customWidth="1"/>
    <col min="14" max="15" width="10.5703125" style="15" customWidth="1"/>
    <col min="18" max="18" width="9.7109375" style="15" customWidth="1"/>
    <col min="19" max="19" width="28.42578125" style="15" customWidth="1"/>
    <col min="20" max="20" width="14.7109375" style="15" customWidth="1"/>
    <col min="21" max="21" width="14.5703125" style="15" customWidth="1"/>
    <col min="22" max="22" width="14.28515625" style="15" customWidth="1"/>
    <col min="23" max="23" width="11.28515625" style="15" customWidth="1"/>
    <col min="24" max="24" width="20.140625" style="15" customWidth="1"/>
    <col min="25" max="25" width="12.140625" style="15" customWidth="1"/>
    <col min="26" max="26" width="15.140625" style="15" customWidth="1"/>
  </cols>
  <sheetData>
    <row r="2" spans="2:26">
      <c r="T2" s="20"/>
      <c r="U2" s="20"/>
      <c r="V2" s="20"/>
      <c r="W2" s="20"/>
      <c r="X2" s="20"/>
      <c r="Y2" s="20"/>
      <c r="Z2" s="20" t="s">
        <v>86</v>
      </c>
    </row>
    <row r="3" spans="2:26">
      <c r="B3" s="135" t="s">
        <v>14</v>
      </c>
      <c r="E3" s="136" t="s">
        <v>87</v>
      </c>
      <c r="S3" s="137" t="s">
        <v>88</v>
      </c>
      <c r="T3" s="138"/>
      <c r="U3" s="138"/>
      <c r="V3" s="138"/>
      <c r="W3" s="138"/>
      <c r="X3" s="138"/>
      <c r="Y3" s="138"/>
      <c r="Z3" s="138"/>
    </row>
    <row r="4" spans="2:26">
      <c r="B4" s="135" t="s">
        <v>24</v>
      </c>
      <c r="E4" s="139" t="s">
        <v>42</v>
      </c>
      <c r="S4" s="137" t="s">
        <v>89</v>
      </c>
      <c r="T4" s="138"/>
      <c r="U4" s="138"/>
      <c r="V4" s="138"/>
      <c r="W4" s="138"/>
      <c r="X4" s="138"/>
      <c r="Y4" s="138"/>
      <c r="Z4" s="138"/>
    </row>
    <row r="5" spans="2:26">
      <c r="B5" s="135" t="s">
        <v>50</v>
      </c>
      <c r="S5" s="137" t="s">
        <v>90</v>
      </c>
      <c r="T5" s="138"/>
      <c r="U5" s="138"/>
      <c r="V5" s="138"/>
      <c r="W5" s="138"/>
      <c r="X5" s="138"/>
      <c r="Y5" s="138"/>
      <c r="Z5" s="138"/>
    </row>
    <row r="6" spans="2:26">
      <c r="B6" s="135" t="s">
        <v>91</v>
      </c>
      <c r="G6" s="15" t="s">
        <v>92</v>
      </c>
      <c r="J6" s="15" t="s">
        <v>93</v>
      </c>
      <c r="S6" s="137" t="s">
        <v>94</v>
      </c>
      <c r="T6" s="138"/>
      <c r="U6" s="138"/>
      <c r="V6" s="138"/>
      <c r="W6" s="138"/>
      <c r="X6" s="138"/>
      <c r="Y6" s="138"/>
      <c r="Z6" s="138"/>
    </row>
    <row r="7" spans="2:26">
      <c r="B7" s="135" t="s">
        <v>95</v>
      </c>
      <c r="G7" s="20" t="s">
        <v>13</v>
      </c>
      <c r="H7" s="15" t="s">
        <v>96</v>
      </c>
      <c r="I7" s="129" t="s">
        <v>29</v>
      </c>
      <c r="J7" s="140">
        <v>0.02</v>
      </c>
      <c r="K7" s="141">
        <v>1.9E-2</v>
      </c>
      <c r="S7" s="137" t="s">
        <v>95</v>
      </c>
      <c r="T7" s="138"/>
      <c r="U7" s="138"/>
      <c r="V7" s="138"/>
      <c r="W7" s="138"/>
      <c r="X7" s="138"/>
      <c r="Y7" s="138"/>
      <c r="Z7" s="138"/>
    </row>
    <row r="8" spans="2:26">
      <c r="B8" s="135" t="s">
        <v>97</v>
      </c>
      <c r="G8" s="142">
        <v>0.3</v>
      </c>
      <c r="H8" s="15" t="s">
        <v>98</v>
      </c>
      <c r="I8" s="129" t="s">
        <v>29</v>
      </c>
      <c r="J8" s="142">
        <v>0.05</v>
      </c>
      <c r="K8" s="142">
        <v>0.02</v>
      </c>
      <c r="S8" s="137" t="s">
        <v>97</v>
      </c>
      <c r="T8" s="138"/>
      <c r="U8" s="138"/>
      <c r="V8" s="138"/>
      <c r="W8" s="138"/>
      <c r="X8" s="138"/>
      <c r="Y8" s="138"/>
      <c r="Z8" s="138"/>
    </row>
    <row r="9" spans="2:26">
      <c r="B9" s="135" t="s">
        <v>99</v>
      </c>
      <c r="G9" s="142">
        <v>0.7</v>
      </c>
      <c r="H9" s="143" t="s">
        <v>100</v>
      </c>
      <c r="I9" s="129" t="s">
        <v>29</v>
      </c>
      <c r="J9" s="142">
        <v>0.05</v>
      </c>
      <c r="K9" s="142">
        <v>0.04</v>
      </c>
      <c r="S9" s="137" t="s">
        <v>99</v>
      </c>
      <c r="T9" s="138"/>
      <c r="U9" s="138"/>
      <c r="V9" s="138"/>
      <c r="W9" s="138"/>
      <c r="X9" s="138"/>
      <c r="Y9" s="138"/>
      <c r="Z9" s="138"/>
    </row>
    <row r="10" spans="2:26">
      <c r="B10" s="135" t="s">
        <v>101</v>
      </c>
      <c r="E10" s="74"/>
      <c r="H10" s="144" t="s">
        <v>102</v>
      </c>
      <c r="I10" s="129" t="s">
        <v>29</v>
      </c>
      <c r="J10" s="142">
        <v>0.02</v>
      </c>
      <c r="K10" s="52">
        <v>0.02</v>
      </c>
      <c r="S10" s="137" t="s">
        <v>101</v>
      </c>
      <c r="T10" s="138"/>
      <c r="U10" s="138"/>
      <c r="V10" s="138"/>
      <c r="W10" s="138"/>
      <c r="X10" s="138"/>
      <c r="Y10" s="138"/>
      <c r="Z10" s="138"/>
    </row>
    <row r="11" spans="2:26">
      <c r="B11" s="135" t="s">
        <v>103</v>
      </c>
      <c r="E11" s="145" t="s">
        <v>104</v>
      </c>
      <c r="H11" s="146" t="s">
        <v>68</v>
      </c>
      <c r="I11" s="129" t="s">
        <v>29</v>
      </c>
      <c r="J11" s="142">
        <v>0.05</v>
      </c>
      <c r="K11" s="52">
        <v>0.05</v>
      </c>
      <c r="S11" s="137" t="s">
        <v>103</v>
      </c>
      <c r="T11" s="138"/>
      <c r="U11" s="138"/>
      <c r="V11" s="138"/>
      <c r="W11" s="138"/>
      <c r="X11" s="138"/>
      <c r="Y11" s="138"/>
      <c r="Z11" s="138"/>
    </row>
    <row r="12" spans="2:26">
      <c r="B12" s="135" t="s">
        <v>105</v>
      </c>
      <c r="S12" s="137" t="s">
        <v>105</v>
      </c>
      <c r="T12" s="138"/>
      <c r="U12" s="138"/>
      <c r="V12" s="138"/>
      <c r="W12" s="138"/>
      <c r="X12" s="138"/>
      <c r="Y12" s="138"/>
      <c r="Z12" s="138"/>
    </row>
    <row r="13" spans="2:26">
      <c r="B13" s="135" t="s">
        <v>106</v>
      </c>
      <c r="S13" s="137" t="s">
        <v>106</v>
      </c>
      <c r="T13" s="138"/>
      <c r="U13" s="138"/>
      <c r="V13" s="138"/>
      <c r="W13" s="138"/>
      <c r="X13" s="138"/>
      <c r="Y13" s="138"/>
      <c r="Z13" s="138"/>
    </row>
    <row r="14" spans="2:26">
      <c r="B14" s="135" t="s">
        <v>107</v>
      </c>
      <c r="S14" s="137" t="s">
        <v>107</v>
      </c>
      <c r="T14" s="138"/>
      <c r="U14" s="138"/>
      <c r="V14" s="138"/>
      <c r="W14" s="138"/>
      <c r="X14" s="138"/>
      <c r="Y14" s="138"/>
      <c r="Z14" s="138"/>
    </row>
    <row r="15" spans="2:26">
      <c r="B15" s="135" t="s">
        <v>108</v>
      </c>
      <c r="S15" s="137" t="s">
        <v>108</v>
      </c>
      <c r="T15" s="138"/>
      <c r="U15" s="138"/>
      <c r="V15" s="138"/>
      <c r="W15" s="138"/>
      <c r="X15" s="138"/>
      <c r="Y15" s="138"/>
      <c r="Z15" s="138"/>
    </row>
    <row r="16" spans="2:26">
      <c r="B16" s="135" t="s">
        <v>109</v>
      </c>
      <c r="E16" s="147">
        <v>-0.3</v>
      </c>
      <c r="S16" s="137" t="s">
        <v>109</v>
      </c>
      <c r="T16" s="138"/>
      <c r="U16" s="138"/>
      <c r="V16" s="138"/>
      <c r="W16" s="138"/>
      <c r="X16" s="138"/>
      <c r="Y16" s="138"/>
      <c r="Z16" s="138"/>
    </row>
    <row r="17" spans="2:26">
      <c r="B17" s="135" t="s">
        <v>110</v>
      </c>
      <c r="E17" s="147">
        <v>-0.5</v>
      </c>
      <c r="S17" s="137" t="s">
        <v>110</v>
      </c>
      <c r="T17" s="138"/>
      <c r="U17" s="138"/>
      <c r="V17" s="138"/>
      <c r="W17" s="138"/>
      <c r="X17" s="138"/>
      <c r="Y17" s="138"/>
      <c r="Z17" s="138"/>
    </row>
    <row r="18" spans="2:26">
      <c r="B18" s="135" t="s">
        <v>111</v>
      </c>
      <c r="E18" s="147">
        <v>-0.8</v>
      </c>
      <c r="S18" s="137" t="s">
        <v>111</v>
      </c>
      <c r="T18" s="138"/>
      <c r="U18" s="138"/>
      <c r="V18" s="138"/>
      <c r="W18" s="138"/>
      <c r="X18" s="138"/>
      <c r="Y18" s="138"/>
      <c r="Z18" s="138"/>
    </row>
    <row r="19" spans="2:26">
      <c r="B19" s="135" t="s">
        <v>112</v>
      </c>
      <c r="E19" s="147">
        <v>-1</v>
      </c>
      <c r="S19" s="137" t="s">
        <v>112</v>
      </c>
      <c r="T19" s="138"/>
      <c r="U19" s="138"/>
      <c r="V19" s="138"/>
      <c r="W19" s="138"/>
      <c r="X19" s="138"/>
      <c r="Y19" s="138"/>
      <c r="Z19" s="138"/>
    </row>
    <row r="20" spans="2:26">
      <c r="B20" s="135" t="s">
        <v>113</v>
      </c>
      <c r="E20" s="147">
        <v>0</v>
      </c>
      <c r="S20" s="137" t="s">
        <v>113</v>
      </c>
      <c r="T20" s="138"/>
      <c r="U20" s="138"/>
      <c r="V20" s="138"/>
      <c r="W20" s="138"/>
      <c r="X20" s="138"/>
      <c r="Y20" s="138"/>
      <c r="Z20" s="138"/>
    </row>
    <row r="21" spans="2:26">
      <c r="B21" s="135" t="s">
        <v>114</v>
      </c>
      <c r="E21" s="147">
        <v>-0.5</v>
      </c>
      <c r="S21" s="137" t="s">
        <v>114</v>
      </c>
      <c r="T21" s="138"/>
      <c r="U21" s="138"/>
      <c r="V21" s="138"/>
      <c r="W21" s="138"/>
      <c r="X21" s="138"/>
      <c r="Y21" s="138"/>
      <c r="Z21" s="138"/>
    </row>
    <row r="22" spans="2:26">
      <c r="B22" s="135" t="s">
        <v>115</v>
      </c>
      <c r="S22" s="137" t="s">
        <v>115</v>
      </c>
      <c r="T22" s="138"/>
      <c r="U22" s="138"/>
      <c r="V22" s="138"/>
      <c r="W22" s="138"/>
      <c r="X22" s="138"/>
      <c r="Y22" s="138"/>
      <c r="Z22" s="138"/>
    </row>
    <row r="23" spans="2:26">
      <c r="B23" s="135" t="s">
        <v>116</v>
      </c>
      <c r="H23" s="148"/>
      <c r="M23" s="15">
        <v>1500</v>
      </c>
      <c r="N23" s="149">
        <f>100+23.8+8.5+0.0035</f>
        <v>132.30350000000001</v>
      </c>
      <c r="O23" s="149">
        <f>M23*P23/N23</f>
        <v>1133.7568545049828</v>
      </c>
      <c r="P23" s="15">
        <v>100</v>
      </c>
      <c r="S23" s="137" t="s">
        <v>116</v>
      </c>
      <c r="T23" s="138"/>
      <c r="U23" s="138"/>
      <c r="V23" s="138"/>
      <c r="W23" s="138"/>
      <c r="X23" s="138"/>
      <c r="Y23" s="138"/>
      <c r="Z23" s="138"/>
    </row>
    <row r="24" spans="2:26">
      <c r="B24" s="135" t="s">
        <v>117</v>
      </c>
      <c r="O24" s="149"/>
      <c r="S24" s="137" t="s">
        <v>117</v>
      </c>
      <c r="T24" s="138"/>
      <c r="U24" s="138"/>
      <c r="V24" s="138"/>
      <c r="W24" s="138"/>
      <c r="X24" s="138"/>
      <c r="Y24" s="138"/>
      <c r="Z24" s="138"/>
    </row>
    <row r="25" spans="2:26">
      <c r="B25" s="135" t="s">
        <v>118</v>
      </c>
      <c r="O25" s="149"/>
      <c r="S25" s="137" t="s">
        <v>118</v>
      </c>
      <c r="T25" s="138"/>
      <c r="U25" s="138"/>
      <c r="V25" s="138"/>
      <c r="W25" s="138"/>
      <c r="X25" s="138"/>
      <c r="Y25" s="138"/>
      <c r="Z25" s="138"/>
    </row>
    <row r="26" spans="2:26">
      <c r="B26" s="135" t="s">
        <v>119</v>
      </c>
      <c r="O26" s="149"/>
      <c r="S26" s="137" t="s">
        <v>119</v>
      </c>
      <c r="T26" s="138"/>
      <c r="U26" s="138"/>
      <c r="V26" s="138"/>
      <c r="W26" s="138"/>
      <c r="X26" s="138"/>
      <c r="Y26" s="138"/>
      <c r="Z26" s="138"/>
    </row>
    <row r="27" spans="2:26">
      <c r="B27" s="135" t="s">
        <v>120</v>
      </c>
      <c r="O27" s="149">
        <f>O23*23.8/100</f>
        <v>269.83413137218594</v>
      </c>
      <c r="S27" s="137" t="s">
        <v>120</v>
      </c>
      <c r="T27" s="138"/>
      <c r="U27" s="138"/>
      <c r="V27" s="138"/>
      <c r="W27" s="138"/>
      <c r="X27" s="138"/>
      <c r="Y27" s="138"/>
      <c r="Z27" s="138"/>
    </row>
    <row r="28" spans="2:26">
      <c r="B28" s="135" t="s">
        <v>121</v>
      </c>
      <c r="H28" s="150" t="s">
        <v>122</v>
      </c>
      <c r="O28" s="149">
        <f>O23*8.5/100</f>
        <v>96.369332632923545</v>
      </c>
      <c r="S28" s="137" t="s">
        <v>121</v>
      </c>
      <c r="T28" s="138"/>
      <c r="U28" s="138"/>
      <c r="V28" s="138"/>
      <c r="W28" s="138"/>
      <c r="X28" s="138"/>
      <c r="Y28" s="138"/>
      <c r="Z28" s="138"/>
    </row>
    <row r="29" spans="2:26">
      <c r="B29" s="135" t="s">
        <v>123</v>
      </c>
      <c r="H29" s="151" t="s">
        <v>124</v>
      </c>
      <c r="O29" s="149">
        <f>O23*0.0035</f>
        <v>3.9681489907674399</v>
      </c>
      <c r="S29" s="137" t="s">
        <v>123</v>
      </c>
      <c r="T29" s="138"/>
      <c r="U29" s="138"/>
      <c r="V29" s="138"/>
      <c r="W29" s="138"/>
      <c r="X29" s="138"/>
      <c r="Y29" s="138"/>
      <c r="Z29" s="138"/>
    </row>
    <row r="30" spans="2:26">
      <c r="B30" s="135" t="s">
        <v>125</v>
      </c>
      <c r="S30" s="137" t="s">
        <v>125</v>
      </c>
      <c r="T30" s="138"/>
      <c r="U30" s="138"/>
      <c r="V30" s="138"/>
      <c r="W30" s="138"/>
      <c r="X30" s="138"/>
      <c r="Y30" s="138"/>
      <c r="Z30" s="138"/>
    </row>
    <row r="31" spans="2:26">
      <c r="B31" s="135" t="s">
        <v>126</v>
      </c>
      <c r="S31" s="137" t="s">
        <v>126</v>
      </c>
      <c r="T31" s="138"/>
      <c r="U31" s="138"/>
      <c r="V31" s="138"/>
      <c r="W31" s="138"/>
      <c r="X31" s="138"/>
      <c r="Y31" s="138"/>
      <c r="Z31" s="138"/>
    </row>
    <row r="32" spans="2:26">
      <c r="B32" s="135" t="s">
        <v>127</v>
      </c>
      <c r="E32" s="135" t="e">
        <f>+#REF!</f>
        <v>#REF!</v>
      </c>
      <c r="S32" s="137" t="s">
        <v>127</v>
      </c>
      <c r="T32" s="138"/>
      <c r="U32" s="138"/>
      <c r="V32" s="138"/>
      <c r="W32" s="138"/>
      <c r="X32" s="138"/>
      <c r="Y32" s="138"/>
      <c r="Z32" s="138"/>
    </row>
    <row r="33" spans="2:26">
      <c r="B33" s="135" t="s">
        <v>128</v>
      </c>
      <c r="E33" s="135" t="s">
        <v>63</v>
      </c>
      <c r="S33" s="137" t="s">
        <v>128</v>
      </c>
      <c r="T33" s="138"/>
      <c r="U33" s="138"/>
      <c r="V33" s="138"/>
      <c r="W33" s="138"/>
      <c r="X33" s="138"/>
      <c r="Y33" s="138"/>
      <c r="Z33" s="138"/>
    </row>
    <row r="34" spans="2:26">
      <c r="B34" s="135" t="s">
        <v>129</v>
      </c>
      <c r="H34" s="15" t="s">
        <v>130</v>
      </c>
      <c r="K34" s="15" t="s">
        <v>131</v>
      </c>
      <c r="S34" s="137" t="s">
        <v>129</v>
      </c>
      <c r="T34" s="138"/>
      <c r="U34" s="138"/>
      <c r="V34" s="138"/>
      <c r="W34" s="138"/>
      <c r="X34" s="138"/>
      <c r="Y34" s="138"/>
      <c r="Z34" s="138"/>
    </row>
    <row r="35" spans="2:26">
      <c r="B35" s="135" t="s">
        <v>132</v>
      </c>
      <c r="H35" s="15">
        <f>100+(23.8+K35)</f>
        <v>124.14</v>
      </c>
      <c r="K35" s="152">
        <v>0.34</v>
      </c>
      <c r="S35" s="137" t="s">
        <v>132</v>
      </c>
      <c r="T35" s="138"/>
      <c r="U35" s="138"/>
      <c r="V35" s="138"/>
      <c r="W35" s="138"/>
      <c r="X35" s="138"/>
      <c r="Y35" s="138"/>
      <c r="Z35" s="138"/>
    </row>
    <row r="36" spans="2:26">
      <c r="B36" s="135" t="s">
        <v>133</v>
      </c>
      <c r="H36" s="15">
        <f>100+(23.8+K36)</f>
        <v>124.88200000000001</v>
      </c>
      <c r="K36" s="152">
        <v>1.0820000000000001</v>
      </c>
      <c r="S36" s="137" t="s">
        <v>133</v>
      </c>
      <c r="T36" s="138"/>
      <c r="U36" s="138"/>
      <c r="V36" s="138"/>
      <c r="W36" s="138"/>
      <c r="X36" s="138"/>
      <c r="Y36" s="138"/>
      <c r="Z36" s="138"/>
    </row>
    <row r="37" spans="2:26">
      <c r="B37" s="135" t="s">
        <v>134</v>
      </c>
      <c r="S37" s="137" t="s">
        <v>134</v>
      </c>
      <c r="T37" s="138"/>
      <c r="U37" s="138"/>
      <c r="V37" s="138"/>
      <c r="W37" s="138"/>
      <c r="X37" s="138"/>
      <c r="Y37" s="138"/>
      <c r="Z37" s="138"/>
    </row>
    <row r="38" spans="2:26">
      <c r="B38" s="135" t="s">
        <v>63</v>
      </c>
      <c r="S38" s="137" t="s">
        <v>63</v>
      </c>
      <c r="T38" s="138"/>
      <c r="U38" s="138"/>
      <c r="V38" s="138"/>
      <c r="W38" s="138"/>
      <c r="X38" s="138"/>
      <c r="Y38" s="138"/>
      <c r="Z38" s="138"/>
    </row>
    <row r="39" spans="2:26">
      <c r="B39" s="135" t="s">
        <v>35</v>
      </c>
      <c r="S39" s="137" t="s">
        <v>35</v>
      </c>
      <c r="T39" s="138"/>
      <c r="U39" s="138"/>
      <c r="V39" s="138"/>
      <c r="W39" s="138"/>
      <c r="X39" s="138"/>
      <c r="Y39" s="138"/>
      <c r="Z39" s="138"/>
    </row>
    <row r="40" spans="2:26">
      <c r="S40" s="153" t="s">
        <v>135</v>
      </c>
      <c r="T40" s="138"/>
      <c r="U40" s="138"/>
      <c r="V40" s="138"/>
      <c r="W40" s="138"/>
      <c r="X40" s="138"/>
      <c r="Y40" s="138"/>
      <c r="Z40" s="138"/>
    </row>
    <row r="41" spans="2:26" ht="24.75">
      <c r="S41" s="154" t="s">
        <v>136</v>
      </c>
      <c r="T41" s="20"/>
      <c r="U41" s="20"/>
      <c r="V41" s="20"/>
      <c r="W41" s="20"/>
      <c r="X41" s="20"/>
      <c r="Y41" s="20"/>
      <c r="Z41" s="20"/>
    </row>
    <row r="42" spans="2:26">
      <c r="S42" s="155" t="s">
        <v>137</v>
      </c>
      <c r="T42" s="20"/>
      <c r="U42" s="20"/>
      <c r="V42" s="20"/>
      <c r="W42" s="20"/>
      <c r="X42" s="20"/>
      <c r="Y42" s="20"/>
      <c r="Z42" s="20"/>
    </row>
    <row r="43" spans="2:26">
      <c r="S43" s="156" t="s">
        <v>138</v>
      </c>
      <c r="T43" s="20"/>
      <c r="U43" s="20"/>
      <c r="V43" s="20"/>
      <c r="W43" s="20"/>
      <c r="X43" s="20"/>
      <c r="Y43" s="20"/>
      <c r="Z43" s="20"/>
    </row>
    <row r="44" spans="2:26">
      <c r="S44" s="156" t="s">
        <v>139</v>
      </c>
      <c r="T44" s="20"/>
      <c r="U44" s="20"/>
      <c r="V44" s="20"/>
      <c r="W44" s="20"/>
      <c r="X44" s="20"/>
      <c r="Y44" s="20"/>
      <c r="Z44" s="20"/>
    </row>
    <row r="45" spans="2:26">
      <c r="S45" s="155" t="s">
        <v>137</v>
      </c>
      <c r="T45" s="20"/>
      <c r="U45" s="20"/>
      <c r="V45" s="20"/>
      <c r="W45" s="20"/>
      <c r="X45" s="20"/>
      <c r="Y45" s="20"/>
      <c r="Z45" s="20"/>
    </row>
    <row r="46" spans="2:26">
      <c r="S46" s="156" t="s">
        <v>138</v>
      </c>
      <c r="T46" s="20"/>
      <c r="U46" s="20"/>
      <c r="V46" s="20"/>
      <c r="W46" s="20"/>
      <c r="X46" s="20"/>
      <c r="Y46" s="20"/>
      <c r="Z46" s="20"/>
    </row>
    <row r="47" spans="2:26">
      <c r="S47" s="157" t="s">
        <v>140</v>
      </c>
      <c r="T47" s="20"/>
      <c r="U47" s="20"/>
      <c r="V47" s="20"/>
      <c r="W47" s="20"/>
      <c r="X47" s="20"/>
      <c r="Y47" s="20"/>
      <c r="Z47" s="20"/>
    </row>
    <row r="48" spans="2:26">
      <c r="S48" s="158" t="s">
        <v>141</v>
      </c>
      <c r="T48" s="20"/>
      <c r="U48" s="20"/>
      <c r="V48" s="20"/>
      <c r="W48" s="20"/>
      <c r="X48" s="20"/>
      <c r="Y48" s="20"/>
      <c r="Z48" s="20"/>
    </row>
    <row r="49" spans="19:26">
      <c r="S49" s="159" t="s">
        <v>142</v>
      </c>
      <c r="T49" s="20"/>
      <c r="U49" s="20"/>
      <c r="V49" s="20"/>
      <c r="W49" s="20"/>
      <c r="X49" s="20"/>
      <c r="Y49" s="20"/>
      <c r="Z49" s="20"/>
    </row>
    <row r="50" spans="19:26">
      <c r="S50" s="160" t="s">
        <v>143</v>
      </c>
      <c r="T50" s="20"/>
      <c r="U50" s="20"/>
      <c r="V50" s="20"/>
      <c r="W50" s="20"/>
      <c r="X50" s="20"/>
      <c r="Y50" s="20"/>
      <c r="Z50" s="20"/>
    </row>
    <row r="51" spans="19:26">
      <c r="S51" s="161" t="s">
        <v>144</v>
      </c>
      <c r="T51" s="20"/>
      <c r="U51" s="20"/>
      <c r="V51" s="20"/>
      <c r="W51" s="20"/>
      <c r="X51" s="20"/>
      <c r="Y51" s="20"/>
      <c r="Z51" s="20"/>
    </row>
    <row r="52" spans="19:26" ht="219" customHeight="1">
      <c r="S52" s="162" t="s">
        <v>145</v>
      </c>
      <c r="T52" s="20"/>
      <c r="U52" s="20"/>
      <c r="V52" s="163"/>
      <c r="W52" s="20"/>
      <c r="X52" s="20"/>
      <c r="Y52" s="20"/>
      <c r="Z52" s="20"/>
    </row>
  </sheetData>
  <conditionalFormatting sqref="H9">
    <cfRule type="cellIs" dxfId="0" priority="2" operator="equal">
      <formula>0</formula>
    </cfRule>
  </conditionalFormatting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STT_2026_00022</vt:lpstr>
      <vt:lpstr>NOMINATIVI</vt:lpstr>
      <vt:lpstr>STT_2026_00022!Area_stampa</vt:lpstr>
      <vt:lpstr>STT_2026_00022!Estrai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CASOLATI ALBERTO</dc:creator>
  <dc:description/>
  <cp:lastModifiedBy>TROIANI CLAUDIA</cp:lastModifiedBy>
  <cp:revision>7</cp:revision>
  <cp:lastPrinted>2026-08-17T11:20:37Z</cp:lastPrinted>
  <dcterms:created xsi:type="dcterms:W3CDTF">2015-06-05T18:19:34Z</dcterms:created>
  <dcterms:modified xsi:type="dcterms:W3CDTF">2026-08-27T09:13:42Z</dcterms:modified>
  <dc:language>it-IT</dc:language>
</cp:coreProperties>
</file>